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17235" windowHeight="7740" tabRatio="359"/>
  </bookViews>
  <sheets>
    <sheet name="Innovation Model" sheetId="8" r:id="rId1"/>
    <sheet name="Estimating Model" sheetId="4" r:id="rId2"/>
    <sheet name="Tracking Model" sheetId="7" r:id="rId3"/>
  </sheets>
  <definedNames>
    <definedName name="cost">'Tracking Model'!$C$3</definedName>
    <definedName name="ideal">'Tracking Model'!$C$6</definedName>
    <definedName name="J">'Tracking Model'!$C$4</definedName>
    <definedName name="locfp">'Tracking Model'!$C$2</definedName>
    <definedName name="originalscope">'Tracking Model'!$C$5</definedName>
  </definedNames>
  <calcPr calcId="145621"/>
</workbook>
</file>

<file path=xl/calcChain.xml><?xml version="1.0" encoding="utf-8"?>
<calcChain xmlns="http://schemas.openxmlformats.org/spreadsheetml/2006/main">
  <c r="D7" i="8" l="1"/>
  <c r="D8" i="8" s="1"/>
  <c r="D9" i="8" l="1"/>
  <c r="D10" i="8" s="1"/>
  <c r="B12" i="7"/>
  <c r="D12" i="7" s="1"/>
  <c r="Q12" i="7" s="1"/>
  <c r="A21" i="4" l="1"/>
  <c r="C21" i="4" s="1"/>
  <c r="B24" i="4"/>
  <c r="C24" i="4"/>
  <c r="C15" i="4"/>
  <c r="C16" i="4"/>
  <c r="C17" i="4"/>
  <c r="D17" i="4" s="1"/>
  <c r="E17" i="4" s="1"/>
  <c r="C18" i="4"/>
  <c r="C19" i="4"/>
  <c r="C20" i="4"/>
  <c r="C22" i="4"/>
  <c r="D22" i="4" s="1"/>
  <c r="E22" i="4" s="1"/>
  <c r="C23" i="4"/>
  <c r="C14" i="4"/>
  <c r="B15" i="4"/>
  <c r="D15" i="4" s="1"/>
  <c r="E15" i="4" s="1"/>
  <c r="B16" i="4"/>
  <c r="D16" i="4" s="1"/>
  <c r="E16" i="4" s="1"/>
  <c r="B17" i="4"/>
  <c r="B18" i="4"/>
  <c r="D18" i="4" s="1"/>
  <c r="E18" i="4" s="1"/>
  <c r="B19" i="4"/>
  <c r="D19" i="4" s="1"/>
  <c r="E19" i="4" s="1"/>
  <c r="B20" i="4"/>
  <c r="D20" i="4" s="1"/>
  <c r="E20" i="4" s="1"/>
  <c r="B22" i="4"/>
  <c r="B23" i="4"/>
  <c r="D23" i="4" s="1"/>
  <c r="E23" i="4" s="1"/>
  <c r="B14" i="4"/>
  <c r="D14" i="4" s="1"/>
  <c r="E14" i="4" s="1"/>
  <c r="G42" i="7"/>
  <c r="P42" i="7" s="1"/>
  <c r="G41" i="7"/>
  <c r="H41" i="7" s="1"/>
  <c r="G40" i="7"/>
  <c r="G39" i="7"/>
  <c r="P39" i="7" s="1"/>
  <c r="G38" i="7"/>
  <c r="H38" i="7" s="1"/>
  <c r="G37" i="7"/>
  <c r="G36" i="7"/>
  <c r="P36" i="7" s="1"/>
  <c r="G35" i="7"/>
  <c r="H35" i="7" s="1"/>
  <c r="G34" i="7"/>
  <c r="G33" i="7"/>
  <c r="H33" i="7" s="1"/>
  <c r="G32" i="7"/>
  <c r="P32" i="7" s="1"/>
  <c r="G31" i="7"/>
  <c r="H31" i="7" s="1"/>
  <c r="G30" i="7"/>
  <c r="G29" i="7"/>
  <c r="H29" i="7" s="1"/>
  <c r="G28" i="7"/>
  <c r="P28" i="7" s="1"/>
  <c r="G27" i="7"/>
  <c r="H27" i="7" s="1"/>
  <c r="G26" i="7"/>
  <c r="P26" i="7" s="1"/>
  <c r="G25" i="7"/>
  <c r="P25" i="7" s="1"/>
  <c r="G24" i="7"/>
  <c r="H24" i="7" s="1"/>
  <c r="G23" i="7"/>
  <c r="G22" i="7"/>
  <c r="P22" i="7" s="1"/>
  <c r="G21" i="7"/>
  <c r="H21" i="7" s="1"/>
  <c r="G20" i="7"/>
  <c r="G19" i="7"/>
  <c r="P19" i="7" s="1"/>
  <c r="G18" i="7"/>
  <c r="P18" i="7" s="1"/>
  <c r="G17" i="7"/>
  <c r="H17" i="7" s="1"/>
  <c r="G16" i="7"/>
  <c r="G15" i="7"/>
  <c r="P15" i="7" s="1"/>
  <c r="G14" i="7"/>
  <c r="P14" i="7" s="1"/>
  <c r="G13" i="7"/>
  <c r="H13" i="7" s="1"/>
  <c r="K12" i="7"/>
  <c r="K13" i="7" s="1"/>
  <c r="K14" i="7" s="1"/>
  <c r="G12" i="7"/>
  <c r="P12" i="7" s="1"/>
  <c r="E4" i="4"/>
  <c r="E6" i="4" s="1"/>
  <c r="D4" i="4"/>
  <c r="B21" i="4" l="1"/>
  <c r="D21" i="4" s="1"/>
  <c r="E21" i="4" s="1"/>
  <c r="P27" i="7"/>
  <c r="O12" i="7"/>
  <c r="E12" i="7"/>
  <c r="F12" i="7"/>
  <c r="H39" i="7"/>
  <c r="H12" i="7"/>
  <c r="I12" i="7" s="1"/>
  <c r="J12" i="7" s="1"/>
  <c r="H15" i="7"/>
  <c r="P31" i="7"/>
  <c r="P29" i="7"/>
  <c r="P38" i="7"/>
  <c r="P35" i="7"/>
  <c r="H36" i="7"/>
  <c r="H25" i="7"/>
  <c r="P33" i="7"/>
  <c r="H42" i="7"/>
  <c r="D24" i="4"/>
  <c r="E24" i="4" s="1"/>
  <c r="H18" i="7"/>
  <c r="H19" i="7"/>
  <c r="H22" i="7"/>
  <c r="H26" i="7"/>
  <c r="H14" i="7"/>
  <c r="H28" i="7"/>
  <c r="H32" i="7"/>
  <c r="P41" i="7"/>
  <c r="P13" i="7"/>
  <c r="P17" i="7"/>
  <c r="P21" i="7"/>
  <c r="P24" i="7"/>
  <c r="K15" i="7"/>
  <c r="P23" i="7"/>
  <c r="H23" i="7"/>
  <c r="P34" i="7"/>
  <c r="H34" i="7"/>
  <c r="P37" i="7"/>
  <c r="H37" i="7"/>
  <c r="P40" i="7"/>
  <c r="H40" i="7"/>
  <c r="D13" i="7"/>
  <c r="P20" i="7"/>
  <c r="H20" i="7"/>
  <c r="P30" i="7"/>
  <c r="H30" i="7"/>
  <c r="P16" i="7"/>
  <c r="H16" i="7"/>
  <c r="E7" i="4"/>
  <c r="E9" i="4"/>
  <c r="E10" i="4" s="1"/>
  <c r="E8" i="4"/>
  <c r="D6" i="4"/>
  <c r="L12" i="7" l="1"/>
  <c r="I13" i="7"/>
  <c r="L13" i="7" s="1"/>
  <c r="K16" i="7"/>
  <c r="D14" i="7"/>
  <c r="E13" i="7"/>
  <c r="Q13" i="7"/>
  <c r="F13" i="7"/>
  <c r="D9" i="4"/>
  <c r="D10" i="4" s="1"/>
  <c r="D7" i="4"/>
  <c r="D8" i="4"/>
  <c r="J13" i="7" l="1"/>
  <c r="I14" i="7"/>
  <c r="I15" i="7" s="1"/>
  <c r="D15" i="7"/>
  <c r="E14" i="7"/>
  <c r="Q14" i="7"/>
  <c r="F14" i="7"/>
  <c r="K17" i="7"/>
  <c r="L14" i="7" l="1"/>
  <c r="J14" i="7"/>
  <c r="I16" i="7"/>
  <c r="L15" i="7"/>
  <c r="Q15" i="7"/>
  <c r="F15" i="7"/>
  <c r="D16" i="7"/>
  <c r="J15" i="7"/>
  <c r="E15" i="7"/>
  <c r="K18" i="7"/>
  <c r="I17" i="7" l="1"/>
  <c r="L16" i="7"/>
  <c r="E16" i="7"/>
  <c r="Q16" i="7"/>
  <c r="F16" i="7"/>
  <c r="D17" i="7"/>
  <c r="J16" i="7"/>
  <c r="K19" i="7"/>
  <c r="I18" i="7" l="1"/>
  <c r="L17" i="7"/>
  <c r="K20" i="7"/>
  <c r="D18" i="7"/>
  <c r="J17" i="7"/>
  <c r="E17" i="7"/>
  <c r="Q17" i="7"/>
  <c r="F17" i="7"/>
  <c r="I19" i="7" l="1"/>
  <c r="L18" i="7"/>
  <c r="D19" i="7"/>
  <c r="J18" i="7"/>
  <c r="E18" i="7"/>
  <c r="Q18" i="7"/>
  <c r="F18" i="7"/>
  <c r="K21" i="7"/>
  <c r="I20" i="7" l="1"/>
  <c r="L19" i="7"/>
  <c r="K22" i="7"/>
  <c r="Q19" i="7"/>
  <c r="F19" i="7"/>
  <c r="D20" i="7"/>
  <c r="J19" i="7"/>
  <c r="E19" i="7"/>
  <c r="I21" i="7" l="1"/>
  <c r="L20" i="7"/>
  <c r="E20" i="7"/>
  <c r="Q20" i="7"/>
  <c r="F20" i="7"/>
  <c r="D21" i="7"/>
  <c r="J20" i="7"/>
  <c r="K23" i="7"/>
  <c r="I22" i="7" l="1"/>
  <c r="L21" i="7"/>
  <c r="D22" i="7"/>
  <c r="J21" i="7"/>
  <c r="E21" i="7"/>
  <c r="Q21" i="7"/>
  <c r="F21" i="7"/>
  <c r="K24" i="7"/>
  <c r="I23" i="7" l="1"/>
  <c r="L22" i="7"/>
  <c r="Q22" i="7"/>
  <c r="J22" i="7"/>
  <c r="D23" i="7"/>
  <c r="O22" i="7"/>
  <c r="E22" i="7"/>
  <c r="F22" i="7"/>
  <c r="K25" i="7"/>
  <c r="I24" i="7" l="1"/>
  <c r="L23" i="7"/>
  <c r="K26" i="7"/>
  <c r="E23" i="7"/>
  <c r="Q23" i="7"/>
  <c r="F23" i="7"/>
  <c r="J23" i="7"/>
  <c r="D24" i="7"/>
  <c r="I25" i="7" l="1"/>
  <c r="L24" i="7"/>
  <c r="D25" i="7"/>
  <c r="J24" i="7"/>
  <c r="E24" i="7"/>
  <c r="Q24" i="7"/>
  <c r="F24" i="7"/>
  <c r="K27" i="7"/>
  <c r="I26" i="7" l="1"/>
  <c r="L25" i="7"/>
  <c r="D26" i="7"/>
  <c r="J25" i="7"/>
  <c r="E25" i="7"/>
  <c r="Q25" i="7"/>
  <c r="F25" i="7"/>
  <c r="K28" i="7"/>
  <c r="I27" i="7" l="1"/>
  <c r="L26" i="7"/>
  <c r="Q26" i="7"/>
  <c r="F26" i="7"/>
  <c r="J26" i="7"/>
  <c r="D27" i="7"/>
  <c r="E26" i="7"/>
  <c r="K29" i="7"/>
  <c r="I28" i="7" l="1"/>
  <c r="L27" i="7"/>
  <c r="K30" i="7"/>
  <c r="D28" i="7"/>
  <c r="J27" i="7"/>
  <c r="E27" i="7"/>
  <c r="Q27" i="7"/>
  <c r="F27" i="7"/>
  <c r="I29" i="7" l="1"/>
  <c r="L28" i="7"/>
  <c r="K31" i="7"/>
  <c r="D29" i="7"/>
  <c r="J28" i="7"/>
  <c r="E28" i="7"/>
  <c r="Q28" i="7"/>
  <c r="F28" i="7"/>
  <c r="I30" i="7" l="1"/>
  <c r="L29" i="7"/>
  <c r="Q29" i="7"/>
  <c r="F29" i="7"/>
  <c r="D30" i="7"/>
  <c r="J29" i="7"/>
  <c r="E29" i="7"/>
  <c r="K32" i="7"/>
  <c r="I31" i="7" l="1"/>
  <c r="L30" i="7"/>
  <c r="K33" i="7"/>
  <c r="E30" i="7"/>
  <c r="Q30" i="7"/>
  <c r="F30" i="7"/>
  <c r="D31" i="7"/>
  <c r="J30" i="7"/>
  <c r="I32" i="7" l="1"/>
  <c r="L31" i="7"/>
  <c r="D32" i="7"/>
  <c r="J31" i="7"/>
  <c r="E31" i="7"/>
  <c r="Q31" i="7"/>
  <c r="F31" i="7"/>
  <c r="K34" i="7"/>
  <c r="I33" i="7" l="1"/>
  <c r="L32" i="7"/>
  <c r="K35" i="7"/>
  <c r="D33" i="7"/>
  <c r="J32" i="7"/>
  <c r="E32" i="7"/>
  <c r="Q32" i="7"/>
  <c r="F32" i="7"/>
  <c r="I34" i="7" l="1"/>
  <c r="L33" i="7"/>
  <c r="K36" i="7"/>
  <c r="Q33" i="7"/>
  <c r="F33" i="7"/>
  <c r="D34" i="7"/>
  <c r="J33" i="7"/>
  <c r="E33" i="7"/>
  <c r="I35" i="7" l="1"/>
  <c r="L34" i="7"/>
  <c r="E34" i="7"/>
  <c r="Q34" i="7"/>
  <c r="F34" i="7"/>
  <c r="J34" i="7"/>
  <c r="D35" i="7"/>
  <c r="K37" i="7"/>
  <c r="I36" i="7" l="1"/>
  <c r="L35" i="7"/>
  <c r="J35" i="7"/>
  <c r="D36" i="7"/>
  <c r="E35" i="7"/>
  <c r="Q35" i="7"/>
  <c r="F35" i="7"/>
  <c r="K38" i="7"/>
  <c r="I37" i="7" l="1"/>
  <c r="L36" i="7"/>
  <c r="K39" i="7"/>
  <c r="Q36" i="7"/>
  <c r="F36" i="7"/>
  <c r="D37" i="7"/>
  <c r="J36" i="7"/>
  <c r="E36" i="7"/>
  <c r="I38" i="7" l="1"/>
  <c r="L37" i="7"/>
  <c r="E37" i="7"/>
  <c r="Q37" i="7"/>
  <c r="F37" i="7"/>
  <c r="D38" i="7"/>
  <c r="J37" i="7"/>
  <c r="K40" i="7"/>
  <c r="I39" i="7" l="1"/>
  <c r="L38" i="7"/>
  <c r="J38" i="7"/>
  <c r="D39" i="7"/>
  <c r="O38" i="7"/>
  <c r="E38" i="7"/>
  <c r="F38" i="7"/>
  <c r="Q38" i="7"/>
  <c r="K41" i="7"/>
  <c r="I40" i="7" l="1"/>
  <c r="L39" i="7"/>
  <c r="Q39" i="7"/>
  <c r="F39" i="7"/>
  <c r="D40" i="7"/>
  <c r="J39" i="7"/>
  <c r="E39" i="7"/>
  <c r="K42" i="7"/>
  <c r="I41" i="7" l="1"/>
  <c r="L40" i="7"/>
  <c r="E40" i="7"/>
  <c r="Q40" i="7"/>
  <c r="F40" i="7"/>
  <c r="D41" i="7"/>
  <c r="J40" i="7"/>
  <c r="I42" i="7" l="1"/>
  <c r="L42" i="7" s="1"/>
  <c r="L41" i="7"/>
  <c r="D42" i="7"/>
  <c r="J41" i="7"/>
  <c r="E41" i="7"/>
  <c r="Q41" i="7"/>
  <c r="F41" i="7"/>
  <c r="Q42" i="7" l="1"/>
  <c r="J42" i="7"/>
  <c r="O42" i="7"/>
  <c r="E42" i="7"/>
  <c r="F42" i="7"/>
  <c r="E7" i="8" l="1"/>
  <c r="E8" i="8" l="1"/>
  <c r="E9" i="8" s="1"/>
  <c r="E10" i="8" l="1"/>
  <c r="F7" i="8" s="1"/>
  <c r="F8" i="8" s="1"/>
  <c r="F9" i="8" l="1"/>
  <c r="F10" i="8" s="1"/>
  <c r="G7" i="8" l="1"/>
  <c r="G8" i="8" s="1"/>
  <c r="G9" i="8" l="1"/>
  <c r="G10" i="8" s="1"/>
  <c r="H7" i="8" l="1"/>
  <c r="H8" i="8" s="1"/>
  <c r="H9" i="8" l="1"/>
  <c r="H10" i="8" s="1"/>
  <c r="I7" i="8" l="1"/>
  <c r="I8" i="8" s="1"/>
  <c r="I9" i="8" l="1"/>
  <c r="I10" i="8" s="1"/>
  <c r="J7" i="8" l="1"/>
  <c r="J8" i="8" l="1"/>
  <c r="J9" i="8" s="1"/>
  <c r="J10" i="8" s="1"/>
  <c r="K7" i="8" l="1"/>
  <c r="K8" i="8" s="1"/>
  <c r="K9" i="8" s="1"/>
  <c r="K10" i="8" s="1"/>
  <c r="L7" i="8" l="1"/>
  <c r="L8" i="8" s="1"/>
  <c r="L9" i="8" l="1"/>
  <c r="L10" i="8" s="1"/>
</calcChain>
</file>

<file path=xl/sharedStrings.xml><?xml version="1.0" encoding="utf-8"?>
<sst xmlns="http://schemas.openxmlformats.org/spreadsheetml/2006/main" count="96" uniqueCount="81">
  <si>
    <t>Lines of Code</t>
  </si>
  <si>
    <t>LOC/FP</t>
  </si>
  <si>
    <t>Function Points</t>
  </si>
  <si>
    <t>Development resources</t>
  </si>
  <si>
    <t>LOC</t>
  </si>
  <si>
    <t>FP</t>
  </si>
  <si>
    <t>Kind of software</t>
  </si>
  <si>
    <t>Best in class</t>
  </si>
  <si>
    <t>Average</t>
  </si>
  <si>
    <t>Worst in class</t>
  </si>
  <si>
    <t>Systems</t>
  </si>
  <si>
    <t>Business</t>
  </si>
  <si>
    <t>Shrink-wrap</t>
  </si>
  <si>
    <t>Month</t>
  </si>
  <si>
    <t>Agile Productivity Ratio</t>
  </si>
  <si>
    <t>Remaining scope</t>
  </si>
  <si>
    <t>Accum Cost</t>
  </si>
  <si>
    <t>Cost/LOC</t>
  </si>
  <si>
    <t>Measured remaining scope</t>
  </si>
  <si>
    <t>Allowable scope change</t>
  </si>
  <si>
    <t>$K/manyear</t>
  </si>
  <si>
    <t>Scope</t>
  </si>
  <si>
    <t>Example Project</t>
  </si>
  <si>
    <t>Tuning Factor</t>
  </si>
  <si>
    <t>J</t>
  </si>
  <si>
    <t>Factor</t>
  </si>
  <si>
    <t>Units</t>
  </si>
  <si>
    <t>dim</t>
  </si>
  <si>
    <t>months</t>
  </si>
  <si>
    <t>persons</t>
  </si>
  <si>
    <t>Average productivity</t>
  </si>
  <si>
    <t xml:space="preserve">Total development effort </t>
  </si>
  <si>
    <t>Formula</t>
  </si>
  <si>
    <t>Your Project</t>
  </si>
  <si>
    <t>27*FP^(1-3*J)</t>
  </si>
  <si>
    <t xml:space="preserve">Development Estimate Model </t>
  </si>
  <si>
    <t>Estimated project duration</t>
  </si>
  <si>
    <t>LOC-per-FP</t>
  </si>
  <si>
    <r>
      <t>FP</t>
    </r>
    <r>
      <rPr>
        <b/>
        <vertAlign val="superscript"/>
        <sz val="10"/>
        <rFont val="Arial"/>
        <family val="2"/>
      </rPr>
      <t>J</t>
    </r>
  </si>
  <si>
    <r>
      <t>FP</t>
    </r>
    <r>
      <rPr>
        <b/>
        <vertAlign val="superscript"/>
        <sz val="10"/>
        <rFont val="Arial"/>
        <family val="2"/>
      </rPr>
      <t>2*J</t>
    </r>
    <r>
      <rPr>
        <b/>
        <sz val="10"/>
        <rFont val="Arial"/>
        <family val="2"/>
      </rPr>
      <t>/27</t>
    </r>
  </si>
  <si>
    <r>
      <t>FP</t>
    </r>
    <r>
      <rPr>
        <b/>
        <vertAlign val="superscript"/>
        <sz val="10"/>
        <rFont val="Arial"/>
        <family val="2"/>
      </rPr>
      <t>3*J</t>
    </r>
    <r>
      <rPr>
        <b/>
        <sz val="10"/>
        <rFont val="Arial"/>
        <family val="2"/>
      </rPr>
      <t>/27</t>
    </r>
  </si>
  <si>
    <t>person-months</t>
  </si>
  <si>
    <t>LOC/person-month</t>
  </si>
  <si>
    <t>J Exponents for Jones's first-order estimate</t>
  </si>
  <si>
    <t>Total Effort (person-months)</t>
  </si>
  <si>
    <t>Duration (months)</t>
  </si>
  <si>
    <t>Resources (persons)</t>
  </si>
  <si>
    <t>Productivity (LOC/person-month)</t>
  </si>
  <si>
    <t>Period</t>
  </si>
  <si>
    <t>Original Estimated Scope</t>
  </si>
  <si>
    <t>Estimated Scope including Creep</t>
  </si>
  <si>
    <t>Required Project Resources</t>
  </si>
  <si>
    <t>Percent per Month</t>
  </si>
  <si>
    <t>Scope Creep</t>
  </si>
  <si>
    <t>Months</t>
  </si>
  <si>
    <t>Project Duration</t>
  </si>
  <si>
    <t>Persons</t>
  </si>
  <si>
    <t>Estimated Productivity</t>
  </si>
  <si>
    <t>Lines-of-Code/Person-Month</t>
  </si>
  <si>
    <t>Accumulated lines-of-code</t>
  </si>
  <si>
    <t>J Tuning Factor</t>
  </si>
  <si>
    <t>Ideal team size</t>
  </si>
  <si>
    <t>person-day/month</t>
  </si>
  <si>
    <t>Estimated lines-of-code produced in period</t>
  </si>
  <si>
    <t>Estimates</t>
  </si>
  <si>
    <t>Costs</t>
  </si>
  <si>
    <t>Measured</t>
  </si>
  <si>
    <t>Metrics</t>
  </si>
  <si>
    <t>$</t>
  </si>
  <si>
    <t>$/LOC</t>
  </si>
  <si>
    <t>FTE Persons</t>
  </si>
  <si>
    <t>%</t>
  </si>
  <si>
    <t>Assumptions</t>
  </si>
  <si>
    <t xml:space="preserve">Actual Project Resources </t>
  </si>
  <si>
    <t>Actual (Measured) LOC</t>
  </si>
  <si>
    <t>Maintenance</t>
  </si>
  <si>
    <t>Sustainment</t>
  </si>
  <si>
    <t>Year</t>
  </si>
  <si>
    <t>R&amp;D</t>
  </si>
  <si>
    <t>Accumulated asset</t>
  </si>
  <si>
    <t>Innovation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</si>
</sst>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_);[Red]\(0\)"/>
    <numFmt numFmtId="165" formatCode="&quot;$&quot;#,##0"/>
    <numFmt numFmtId="166" formatCode="&quot;$&quot;#,##0.00"/>
    <numFmt numFmtId="167" formatCode="0.0%"/>
    <numFmt numFmtId="168" formatCode="0.0"/>
    <numFmt numFmtId="169" formatCode="&quot;Month-&quot;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1" applyFont="1" applyAlignment="1">
      <alignment horizontal="center" vertical="top" wrapText="1"/>
    </xf>
    <xf numFmtId="0" fontId="2" fillId="0" borderId="0" xfId="1" applyFont="1"/>
    <xf numFmtId="0" fontId="1" fillId="0" borderId="0" xfId="1" applyFont="1"/>
    <xf numFmtId="0" fontId="1" fillId="0" borderId="0" xfId="1"/>
    <xf numFmtId="1" fontId="1" fillId="0" borderId="0" xfId="1" applyNumberFormat="1"/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wrapText="1"/>
    </xf>
    <xf numFmtId="15" fontId="1" fillId="0" borderId="0" xfId="1" applyNumberFormat="1"/>
    <xf numFmtId="10" fontId="1" fillId="0" borderId="0" xfId="1" applyNumberFormat="1"/>
    <xf numFmtId="1" fontId="1" fillId="0" borderId="0" xfId="1" applyNumberFormat="1" applyFont="1"/>
    <xf numFmtId="9" fontId="1" fillId="0" borderId="0" xfId="1" applyNumberFormat="1" applyFont="1"/>
    <xf numFmtId="164" fontId="1" fillId="0" borderId="0" xfId="1" applyNumberFormat="1" applyFont="1"/>
    <xf numFmtId="165" fontId="1" fillId="0" borderId="0" xfId="1" applyNumberFormat="1" applyFont="1"/>
    <xf numFmtId="166" fontId="1" fillId="0" borderId="0" xfId="1" applyNumberFormat="1" applyFont="1"/>
    <xf numFmtId="167" fontId="1" fillId="0" borderId="0" xfId="1" applyNumberFormat="1" applyFont="1"/>
    <xf numFmtId="0" fontId="1" fillId="0" borderId="0" xfId="1" applyBorder="1"/>
    <xf numFmtId="1" fontId="1" fillId="0" borderId="0" xfId="1" applyNumberFormat="1" applyBorder="1"/>
    <xf numFmtId="1" fontId="1" fillId="0" borderId="0" xfId="1" applyNumberFormat="1" applyFont="1" applyBorder="1"/>
    <xf numFmtId="9" fontId="1" fillId="0" borderId="0" xfId="1" applyNumberFormat="1" applyFont="1" applyBorder="1"/>
    <xf numFmtId="164" fontId="1" fillId="0" borderId="0" xfId="1" applyNumberFormat="1" applyFont="1" applyBorder="1"/>
    <xf numFmtId="165" fontId="1" fillId="0" borderId="0" xfId="1" applyNumberFormat="1" applyFont="1" applyBorder="1"/>
    <xf numFmtId="166" fontId="1" fillId="0" borderId="0" xfId="1" applyNumberFormat="1" applyFont="1" applyBorder="1"/>
    <xf numFmtId="167" fontId="1" fillId="0" borderId="0" xfId="1" applyNumberFormat="1" applyFont="1" applyBorder="1"/>
    <xf numFmtId="0" fontId="1" fillId="0" borderId="0" xfId="1" quotePrefix="1" applyFont="1"/>
    <xf numFmtId="0" fontId="2" fillId="0" borderId="2" xfId="1" applyFont="1" applyBorder="1" applyAlignment="1">
      <alignment horizontal="center" vertical="top" wrapText="1"/>
    </xf>
    <xf numFmtId="0" fontId="2" fillId="0" borderId="2" xfId="1" applyFont="1" applyBorder="1"/>
    <xf numFmtId="0" fontId="2" fillId="2" borderId="2" xfId="1" quotePrefix="1" applyFont="1" applyFill="1" applyBorder="1"/>
    <xf numFmtId="0" fontId="2" fillId="2" borderId="2" xfId="1" applyFont="1" applyFill="1" applyBorder="1"/>
    <xf numFmtId="0" fontId="0" fillId="0" borderId="2" xfId="0" applyBorder="1"/>
    <xf numFmtId="0" fontId="1" fillId="0" borderId="2" xfId="1" applyBorder="1"/>
    <xf numFmtId="1" fontId="1" fillId="0" borderId="2" xfId="1" applyNumberFormat="1" applyBorder="1"/>
    <xf numFmtId="1" fontId="1" fillId="2" borderId="2" xfId="1" applyNumberFormat="1" applyFill="1" applyBorder="1"/>
    <xf numFmtId="0" fontId="2" fillId="0" borderId="2" xfId="1" applyFont="1" applyBorder="1" applyAlignment="1">
      <alignment horizontal="left" vertical="top" wrapText="1"/>
    </xf>
    <xf numFmtId="0" fontId="2" fillId="2" borderId="2" xfId="1" applyFont="1" applyFill="1" applyBorder="1" applyAlignment="1">
      <alignment horizontal="left" vertical="top" wrapText="1"/>
    </xf>
    <xf numFmtId="0" fontId="1" fillId="0" borderId="0" xfId="1" applyAlignment="1">
      <alignment horizontal="left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168" fontId="1" fillId="0" borderId="0" xfId="1" applyNumberFormat="1"/>
    <xf numFmtId="0" fontId="6" fillId="0" borderId="3" xfId="1" applyFont="1" applyBorder="1" applyAlignment="1"/>
    <xf numFmtId="0" fontId="5" fillId="0" borderId="4" xfId="1" applyFont="1" applyBorder="1" applyAlignment="1">
      <alignment horizontal="center" vertical="center" wrapText="1"/>
    </xf>
    <xf numFmtId="0" fontId="0" fillId="0" borderId="4" xfId="0" applyBorder="1"/>
    <xf numFmtId="0" fontId="1" fillId="0" borderId="4" xfId="1" applyBorder="1"/>
    <xf numFmtId="1" fontId="1" fillId="0" borderId="4" xfId="1" applyNumberFormat="1" applyBorder="1"/>
    <xf numFmtId="1" fontId="1" fillId="2" borderId="4" xfId="1" applyNumberFormat="1" applyFill="1" applyBorder="1"/>
    <xf numFmtId="168" fontId="1" fillId="0" borderId="2" xfId="1" applyNumberFormat="1" applyBorder="1"/>
    <xf numFmtId="0" fontId="2" fillId="0" borderId="2" xfId="1" applyFont="1" applyBorder="1" applyAlignment="1">
      <alignment vertical="center" wrapText="1"/>
    </xf>
    <xf numFmtId="0" fontId="1" fillId="0" borderId="0" xfId="1" applyFill="1"/>
    <xf numFmtId="1" fontId="1" fillId="0" borderId="0" xfId="1" applyNumberFormat="1" applyFont="1" applyFill="1"/>
    <xf numFmtId="1" fontId="1" fillId="0" borderId="0" xfId="1" applyNumberFormat="1" applyFont="1" applyFill="1" applyBorder="1"/>
    <xf numFmtId="0" fontId="2" fillId="0" borderId="0" xfId="1" applyFont="1" applyFill="1"/>
    <xf numFmtId="0" fontId="1" fillId="0" borderId="0" xfId="1" applyFont="1" applyFill="1"/>
    <xf numFmtId="0" fontId="1" fillId="0" borderId="0" xfId="1" applyFill="1" applyBorder="1"/>
    <xf numFmtId="0" fontId="8" fillId="0" borderId="2" xfId="1" applyFont="1" applyBorder="1" applyAlignment="1">
      <alignment horizontal="center" vertical="top" wrapText="1"/>
    </xf>
    <xf numFmtId="0" fontId="1" fillId="0" borderId="4" xfId="1" applyFont="1" applyBorder="1"/>
    <xf numFmtId="0" fontId="1" fillId="0" borderId="4" xfId="1" applyFill="1" applyBorder="1"/>
    <xf numFmtId="0" fontId="2" fillId="0" borderId="5" xfId="1" applyFont="1" applyBorder="1"/>
    <xf numFmtId="169" fontId="1" fillId="0" borderId="0" xfId="1" applyNumberFormat="1"/>
    <xf numFmtId="10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0" fontId="2" fillId="0" borderId="3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4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'Innovation Model'!$A$7</c:f>
              <c:strCache>
                <c:ptCount val="1"/>
                <c:pt idx="0">
                  <c:v>Maintenance</c:v>
                </c:pt>
              </c:strCache>
            </c:strRef>
          </c:tx>
          <c:invertIfNegative val="0"/>
          <c:val>
            <c:numRef>
              <c:f>'Innovation Model'!$D$7:$L$7</c:f>
              <c:numCache>
                <c:formatCode>#,##0</c:formatCode>
                <c:ptCount val="9"/>
                <c:pt idx="0">
                  <c:v>0</c:v>
                </c:pt>
                <c:pt idx="1">
                  <c:v>130000</c:v>
                </c:pt>
                <c:pt idx="2">
                  <c:v>243100</c:v>
                </c:pt>
                <c:pt idx="3">
                  <c:v>341497</c:v>
                </c:pt>
                <c:pt idx="4">
                  <c:v>427102.39</c:v>
                </c:pt>
                <c:pt idx="5">
                  <c:v>501579.07930000004</c:v>
                </c:pt>
                <c:pt idx="6">
                  <c:v>566373.79899100005</c:v>
                </c:pt>
                <c:pt idx="7">
                  <c:v>622745.20512217004</c:v>
                </c:pt>
                <c:pt idx="8">
                  <c:v>671788.32845628785</c:v>
                </c:pt>
              </c:numCache>
            </c:numRef>
          </c:val>
        </c:ser>
        <c:ser>
          <c:idx val="2"/>
          <c:order val="1"/>
          <c:tx>
            <c:strRef>
              <c:f>'Innovation Model'!$A$8</c:f>
              <c:strCache>
                <c:ptCount val="1"/>
                <c:pt idx="0">
                  <c:v>Sustainment</c:v>
                </c:pt>
              </c:strCache>
            </c:strRef>
          </c:tx>
          <c:invertIfNegative val="0"/>
          <c:val>
            <c:numRef>
              <c:f>'Innovation Model'!$D$8:$L$8</c:f>
              <c:numCache>
                <c:formatCode>#,##0</c:formatCode>
                <c:ptCount val="9"/>
                <c:pt idx="0">
                  <c:v>0</c:v>
                </c:pt>
                <c:pt idx="1">
                  <c:v>130000</c:v>
                </c:pt>
                <c:pt idx="2">
                  <c:v>243100</c:v>
                </c:pt>
                <c:pt idx="3">
                  <c:v>341497</c:v>
                </c:pt>
                <c:pt idx="4">
                  <c:v>427102.39</c:v>
                </c:pt>
                <c:pt idx="5">
                  <c:v>498420.92069999996</c:v>
                </c:pt>
                <c:pt idx="6">
                  <c:v>433626.20100899995</c:v>
                </c:pt>
                <c:pt idx="7">
                  <c:v>377254.79487782996</c:v>
                </c:pt>
                <c:pt idx="8">
                  <c:v>328211.67154371215</c:v>
                </c:pt>
              </c:numCache>
            </c:numRef>
          </c:val>
        </c:ser>
        <c:ser>
          <c:idx val="3"/>
          <c:order val="2"/>
          <c:tx>
            <c:strRef>
              <c:f>'Innovation Model'!$A$9</c:f>
              <c:strCache>
                <c:ptCount val="1"/>
                <c:pt idx="0">
                  <c:v>Innovation</c:v>
                </c:pt>
              </c:strCache>
            </c:strRef>
          </c:tx>
          <c:invertIfNegative val="0"/>
          <c:val>
            <c:numRef>
              <c:f>'Innovation Model'!$D$9:$L$9</c:f>
              <c:numCache>
                <c:formatCode>#,##0</c:formatCode>
                <c:ptCount val="9"/>
                <c:pt idx="0">
                  <c:v>1000000</c:v>
                </c:pt>
                <c:pt idx="1">
                  <c:v>740000</c:v>
                </c:pt>
                <c:pt idx="2">
                  <c:v>513800</c:v>
                </c:pt>
                <c:pt idx="3">
                  <c:v>317006</c:v>
                </c:pt>
                <c:pt idx="4">
                  <c:v>145795.21999999997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366016"/>
        <c:axId val="145371904"/>
      </c:barChart>
      <c:catAx>
        <c:axId val="145366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45371904"/>
        <c:crosses val="autoZero"/>
        <c:auto val="1"/>
        <c:lblAlgn val="ctr"/>
        <c:lblOffset val="100"/>
        <c:noMultiLvlLbl val="0"/>
      </c:catAx>
      <c:valAx>
        <c:axId val="1453719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5366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'Estimating Model'!$D$13</c:f>
              <c:strCache>
                <c:ptCount val="1"/>
                <c:pt idx="0">
                  <c:v>Total Effort (person-months)</c:v>
                </c:pt>
              </c:strCache>
            </c:strRef>
          </c:tx>
          <c:xVal>
            <c:numRef>
              <c:f>'Estimating Model'!$A$14:$A$24</c:f>
              <c:numCache>
                <c:formatCode>General</c:formatCode>
                <c:ptCount val="11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75000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</c:numCache>
            </c:numRef>
          </c:xVal>
          <c:yVal>
            <c:numRef>
              <c:f>'Estimating Model'!$D$14:$D$24</c:f>
              <c:numCache>
                <c:formatCode>0</c:formatCode>
                <c:ptCount val="11"/>
                <c:pt idx="0">
                  <c:v>19.487840841422642</c:v>
                </c:pt>
                <c:pt idx="1">
                  <c:v>44.771301433972447</c:v>
                </c:pt>
                <c:pt idx="2">
                  <c:v>72.82981884738922</c:v>
                </c:pt>
                <c:pt idx="3">
                  <c:v>102.85744061656112</c:v>
                </c:pt>
                <c:pt idx="4">
                  <c:v>134.43976023373057</c:v>
                </c:pt>
                <c:pt idx="5">
                  <c:v>167.31898620945611</c:v>
                </c:pt>
                <c:pt idx="6">
                  <c:v>201.31742743838407</c:v>
                </c:pt>
                <c:pt idx="7">
                  <c:v>218.69418735010143</c:v>
                </c:pt>
                <c:pt idx="8">
                  <c:v>236.30434567089799</c:v>
                </c:pt>
                <c:pt idx="9">
                  <c:v>272.17907599435847</c:v>
                </c:pt>
                <c:pt idx="10">
                  <c:v>308.86146285336423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'Estimating Model'!$E$13</c:f>
              <c:strCache>
                <c:ptCount val="1"/>
                <c:pt idx="0">
                  <c:v>Productivity (LOC/person-month)</c:v>
                </c:pt>
              </c:strCache>
            </c:strRef>
          </c:tx>
          <c:xVal>
            <c:numRef>
              <c:f>'Estimating Model'!$A$14:$A$24</c:f>
              <c:numCache>
                <c:formatCode>General</c:formatCode>
                <c:ptCount val="11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75000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</c:numCache>
            </c:numRef>
          </c:xVal>
          <c:yVal>
            <c:numRef>
              <c:f>'Estimating Model'!$E$14:$E$24</c:f>
              <c:numCache>
                <c:formatCode>0</c:formatCode>
                <c:ptCount val="11"/>
                <c:pt idx="0">
                  <c:v>513.14047981879889</c:v>
                </c:pt>
                <c:pt idx="1">
                  <c:v>446.71473375629881</c:v>
                </c:pt>
                <c:pt idx="2">
                  <c:v>411.91919017213689</c:v>
                </c:pt>
                <c:pt idx="3">
                  <c:v>388.88776310422389</c:v>
                </c:pt>
                <c:pt idx="4">
                  <c:v>371.91378438248017</c:v>
                </c:pt>
                <c:pt idx="5">
                  <c:v>358.59648303683701</c:v>
                </c:pt>
                <c:pt idx="6">
                  <c:v>347.70958923277743</c:v>
                </c:pt>
                <c:pt idx="7">
                  <c:v>342.94464296819461</c:v>
                </c:pt>
                <c:pt idx="8">
                  <c:v>338.54646122935173</c:v>
                </c:pt>
                <c:pt idx="9">
                  <c:v>330.6646540377904</c:v>
                </c:pt>
                <c:pt idx="10">
                  <c:v>323.76975449176132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413632"/>
        <c:axId val="145415552"/>
      </c:scatterChart>
      <c:valAx>
        <c:axId val="145413632"/>
        <c:scaling>
          <c:orientation val="minMax"/>
          <c:max val="100000"/>
        </c:scaling>
        <c:delete val="0"/>
        <c:axPos val="b"/>
        <c:numFmt formatCode="General" sourceLinked="1"/>
        <c:majorTickMark val="out"/>
        <c:minorTickMark val="none"/>
        <c:tickLblPos val="nextTo"/>
        <c:crossAx val="145415552"/>
        <c:crosses val="autoZero"/>
        <c:crossBetween val="midCat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Thousands Lines-of-Code</a:t>
                  </a:r>
                </a:p>
              </c:rich>
            </c:tx>
          </c:dispUnitsLbl>
        </c:dispUnits>
      </c:valAx>
      <c:valAx>
        <c:axId val="1454155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54136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'Estimating Model'!$B$13</c:f>
              <c:strCache>
                <c:ptCount val="1"/>
                <c:pt idx="0">
                  <c:v>Duration (months)</c:v>
                </c:pt>
              </c:strCache>
            </c:strRef>
          </c:tx>
          <c:xVal>
            <c:numRef>
              <c:f>'Estimating Model'!$A$14:$A$24</c:f>
              <c:numCache>
                <c:formatCode>General</c:formatCode>
                <c:ptCount val="11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75000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</c:numCache>
            </c:numRef>
          </c:xVal>
          <c:yVal>
            <c:numRef>
              <c:f>'Estimating Model'!$B$14:$B$24</c:f>
              <c:numCache>
                <c:formatCode>0.0</c:formatCode>
                <c:ptCount val="11"/>
                <c:pt idx="0">
                  <c:v>8.0731402272248207</c:v>
                </c:pt>
                <c:pt idx="1">
                  <c:v>10.652572394602032</c:v>
                </c:pt>
                <c:pt idx="2">
                  <c:v>12.528266929216878</c:v>
                </c:pt>
                <c:pt idx="3">
                  <c:v>14.056153544758336</c:v>
                </c:pt>
                <c:pt idx="4">
                  <c:v>15.368465191362136</c:v>
                </c:pt>
                <c:pt idx="5">
                  <c:v>16.531147321376107</c:v>
                </c:pt>
                <c:pt idx="6">
                  <c:v>17.582543966623305</c:v>
                </c:pt>
                <c:pt idx="7">
                  <c:v>18.074529519961647</c:v>
                </c:pt>
                <c:pt idx="8">
                  <c:v>18.547205797347086</c:v>
                </c:pt>
                <c:pt idx="9">
                  <c:v>19.441935582935393</c:v>
                </c:pt>
                <c:pt idx="10">
                  <c:v>20.278811396440201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'Estimating Model'!$C$13</c:f>
              <c:strCache>
                <c:ptCount val="1"/>
                <c:pt idx="0">
                  <c:v>Resources (persons)</c:v>
                </c:pt>
              </c:strCache>
            </c:strRef>
          </c:tx>
          <c:xVal>
            <c:numRef>
              <c:f>'Estimating Model'!$A$14:$A$24</c:f>
              <c:numCache>
                <c:formatCode>General</c:formatCode>
                <c:ptCount val="11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75000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</c:numCache>
            </c:numRef>
          </c:xVal>
          <c:yVal>
            <c:numRef>
              <c:f>'Estimating Model'!$C$14:$C$24</c:f>
              <c:numCache>
                <c:formatCode>0</c:formatCode>
                <c:ptCount val="11"/>
                <c:pt idx="0">
                  <c:v>2.4139108566087271</c:v>
                </c:pt>
                <c:pt idx="1">
                  <c:v>4.2028629119347141</c:v>
                </c:pt>
                <c:pt idx="2">
                  <c:v>5.8132397129521962</c:v>
                </c:pt>
                <c:pt idx="3">
                  <c:v>7.317609350882309</c:v>
                </c:pt>
                <c:pt idx="4">
                  <c:v>8.7477674940040586</c:v>
                </c:pt>
                <c:pt idx="5">
                  <c:v>10.121438213371867</c:v>
                </c:pt>
                <c:pt idx="6">
                  <c:v>11.449846382897839</c:v>
                </c:pt>
                <c:pt idx="7">
                  <c:v>12.099578421035741</c:v>
                </c:pt>
                <c:pt idx="8">
                  <c:v>12.74069788478316</c:v>
                </c:pt>
                <c:pt idx="9">
                  <c:v>13.999587378185531</c:v>
                </c:pt>
                <c:pt idx="10">
                  <c:v>15.230747838977516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522688"/>
        <c:axId val="145524608"/>
      </c:scatterChart>
      <c:valAx>
        <c:axId val="145522688"/>
        <c:scaling>
          <c:orientation val="minMax"/>
          <c:max val="100000"/>
        </c:scaling>
        <c:delete val="0"/>
        <c:axPos val="b"/>
        <c:numFmt formatCode="General" sourceLinked="1"/>
        <c:majorTickMark val="out"/>
        <c:minorTickMark val="none"/>
        <c:tickLblPos val="nextTo"/>
        <c:crossAx val="145524608"/>
        <c:crosses val="autoZero"/>
        <c:crossBetween val="midCat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Thousands Lines</a:t>
                  </a:r>
                  <a:r>
                    <a:rPr lang="en-US" baseline="0"/>
                    <a:t>-of-Code</a:t>
                  </a:r>
                  <a:endParaRPr lang="en-US"/>
                </a:p>
              </c:rich>
            </c:tx>
          </c:dispUnitsLbl>
        </c:dispUnits>
      </c:valAx>
      <c:valAx>
        <c:axId val="14552460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455226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760425937070577E-2"/>
          <c:y val="1.9555296671139356E-2"/>
          <c:w val="0.7217656960213843"/>
          <c:h val="0.858065370626558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'Tracking Model'!$D$10</c:f>
              <c:strCache>
                <c:ptCount val="1"/>
                <c:pt idx="0">
                  <c:v>Estimated Scope including Creep</c:v>
                </c:pt>
              </c:strCache>
            </c:strRef>
          </c:tx>
          <c:xVal>
            <c:numRef>
              <c:f>'Tracking Model'!$A$12:$A$42</c:f>
              <c:numCache>
                <c:formatCode>"Month-"0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'Tracking Model'!$D$12:$D$42</c:f>
              <c:numCache>
                <c:formatCode>0</c:formatCode>
                <c:ptCount val="31"/>
                <c:pt idx="0">
                  <c:v>75000</c:v>
                </c:pt>
                <c:pt idx="1">
                  <c:v>75000</c:v>
                </c:pt>
                <c:pt idx="2">
                  <c:v>76462.5</c:v>
                </c:pt>
                <c:pt idx="3">
                  <c:v>77953.518750000003</c:v>
                </c:pt>
                <c:pt idx="4">
                  <c:v>79473.612365625013</c:v>
                </c:pt>
                <c:pt idx="5">
                  <c:v>81023.347806754711</c:v>
                </c:pt>
                <c:pt idx="6">
                  <c:v>82603.303088986431</c:v>
                </c:pt>
                <c:pt idx="7">
                  <c:v>84214.067499221666</c:v>
                </c:pt>
                <c:pt idx="8">
                  <c:v>85856.241815456495</c:v>
                </c:pt>
                <c:pt idx="9">
                  <c:v>87530.438530857908</c:v>
                </c:pt>
                <c:pt idx="10">
                  <c:v>89237.28208220964</c:v>
                </c:pt>
                <c:pt idx="11">
                  <c:v>90977.409082812737</c:v>
                </c:pt>
                <c:pt idx="12">
                  <c:v>92751.468559927598</c:v>
                </c:pt>
                <c:pt idx="13">
                  <c:v>94560.12219684619</c:v>
                </c:pt>
                <c:pt idx="14">
                  <c:v>96404.044579684705</c:v>
                </c:pt>
                <c:pt idx="15">
                  <c:v>98283.923448988571</c:v>
                </c:pt>
                <c:pt idx="16">
                  <c:v>100200.45995624385</c:v>
                </c:pt>
                <c:pt idx="17">
                  <c:v>102154.36892539062</c:v>
                </c:pt>
                <c:pt idx="18">
                  <c:v>104146.37911943575</c:v>
                </c:pt>
                <c:pt idx="19">
                  <c:v>106177.23351226475</c:v>
                </c:pt>
                <c:pt idx="20">
                  <c:v>108247.68956575391</c:v>
                </c:pt>
                <c:pt idx="21">
                  <c:v>110358.51951228612</c:v>
                </c:pt>
                <c:pt idx="22">
                  <c:v>112510.51064277571</c:v>
                </c:pt>
                <c:pt idx="23">
                  <c:v>114704.46560030985</c:v>
                </c:pt>
                <c:pt idx="24">
                  <c:v>116941.2026795159</c:v>
                </c:pt>
                <c:pt idx="25">
                  <c:v>119221.55613176647</c:v>
                </c:pt>
                <c:pt idx="26">
                  <c:v>121546.37647633592</c:v>
                </c:pt>
                <c:pt idx="27">
                  <c:v>123916.53081762449</c:v>
                </c:pt>
                <c:pt idx="28">
                  <c:v>126332.90316856817</c:v>
                </c:pt>
                <c:pt idx="29">
                  <c:v>128796.39478035526</c:v>
                </c:pt>
                <c:pt idx="30">
                  <c:v>131307.92447857218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'Tracking Model'!$J$10</c:f>
              <c:strCache>
                <c:ptCount val="1"/>
                <c:pt idx="0">
                  <c:v>Remaining scope</c:v>
                </c:pt>
              </c:strCache>
            </c:strRef>
          </c:tx>
          <c:xVal>
            <c:numRef>
              <c:f>'Tracking Model'!$A$12:$A$42</c:f>
              <c:numCache>
                <c:formatCode>"Month-"0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'Tracking Model'!$J$12:$J$42</c:f>
              <c:numCache>
                <c:formatCode>0_);[Red]\(0\)</c:formatCode>
                <c:ptCount val="31"/>
                <c:pt idx="0">
                  <c:v>73190.904153905518</c:v>
                </c:pt>
                <c:pt idx="1">
                  <c:v>71381.808307811036</c:v>
                </c:pt>
                <c:pt idx="2">
                  <c:v>70392.254360931212</c:v>
                </c:pt>
                <c:pt idx="3">
                  <c:v>69431.219164051392</c:v>
                </c:pt>
                <c:pt idx="4">
                  <c:v>68499.258832796564</c:v>
                </c:pt>
                <c:pt idx="5">
                  <c:v>67596.940327046439</c:v>
                </c:pt>
                <c:pt idx="6">
                  <c:v>66724.841662398336</c:v>
                </c:pt>
                <c:pt idx="7">
                  <c:v>65883.552125753733</c:v>
                </c:pt>
                <c:pt idx="8">
                  <c:v>65073.672495108731</c:v>
                </c:pt>
                <c:pt idx="9">
                  <c:v>64295.815263630313</c:v>
                </c:pt>
                <c:pt idx="10">
                  <c:v>63550.604868102215</c:v>
                </c:pt>
                <c:pt idx="11">
                  <c:v>62838.677921825481</c:v>
                </c:pt>
                <c:pt idx="12">
                  <c:v>60488.890651060399</c:v>
                </c:pt>
                <c:pt idx="13">
                  <c:v>58173.697540099056</c:v>
                </c:pt>
                <c:pt idx="14">
                  <c:v>55893.773175057628</c:v>
                </c:pt>
                <c:pt idx="15">
                  <c:v>52898.535221083381</c:v>
                </c:pt>
                <c:pt idx="16">
                  <c:v>49939.954905060549</c:v>
                </c:pt>
                <c:pt idx="17">
                  <c:v>47264.592827917637</c:v>
                </c:pt>
                <c:pt idx="18">
                  <c:v>44627.331975673085</c:v>
                </c:pt>
                <c:pt idx="19">
                  <c:v>41541.290606142808</c:v>
                </c:pt>
                <c:pt idx="20">
                  <c:v>38494.850897272685</c:v>
                </c:pt>
                <c:pt idx="21">
                  <c:v>35488.785081445603</c:v>
                </c:pt>
                <c:pt idx="22">
                  <c:v>32765.659388657092</c:v>
                </c:pt>
                <c:pt idx="23">
                  <c:v>30084.497522913123</c:v>
                </c:pt>
                <c:pt idx="24">
                  <c:v>26272.158062875184</c:v>
                </c:pt>
                <c:pt idx="25">
                  <c:v>22503.434975881741</c:v>
                </c:pt>
                <c:pt idx="26">
                  <c:v>18779.178781207185</c:v>
                </c:pt>
                <c:pt idx="27">
                  <c:v>15100.256583251743</c:v>
                </c:pt>
                <c:pt idx="28">
                  <c:v>9940.6387018891692</c:v>
                </c:pt>
                <c:pt idx="29">
                  <c:v>4828.140081370002</c:v>
                </c:pt>
                <c:pt idx="30">
                  <c:v>-236.32045271934476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680640"/>
        <c:axId val="144252928"/>
      </c:scatterChart>
      <c:scatterChart>
        <c:scatterStyle val="lineMarker"/>
        <c:varyColors val="0"/>
        <c:ser>
          <c:idx val="1"/>
          <c:order val="1"/>
          <c:tx>
            <c:strRef>
              <c:f>'Tracking Model'!$M$10</c:f>
              <c:strCache>
                <c:ptCount val="1"/>
                <c:pt idx="0">
                  <c:v>Actual Project Resources </c:v>
                </c:pt>
              </c:strCache>
            </c:strRef>
          </c:tx>
          <c:xVal>
            <c:numRef>
              <c:f>'Tracking Model'!$A$12:$A$42</c:f>
              <c:numCache>
                <c:formatCode>"Month-"0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'Tracking Model'!$M$12:$M$42</c:f>
              <c:numCache>
                <c:formatCode>General</c:formatCode>
                <c:ptCount val="31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15</c:v>
                </c:pt>
                <c:pt idx="16">
                  <c:v>15</c:v>
                </c:pt>
                <c:pt idx="17">
                  <c:v>14</c:v>
                </c:pt>
                <c:pt idx="18">
                  <c:v>14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15</c:v>
                </c:pt>
                <c:pt idx="23">
                  <c:v>15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27</c:v>
                </c:pt>
                <c:pt idx="29">
                  <c:v>27</c:v>
                </c:pt>
                <c:pt idx="30">
                  <c:v>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256000"/>
        <c:axId val="144254464"/>
      </c:scatterChart>
      <c:valAx>
        <c:axId val="145680640"/>
        <c:scaling>
          <c:orientation val="minMax"/>
        </c:scaling>
        <c:delete val="0"/>
        <c:axPos val="b"/>
        <c:numFmt formatCode="&quot;Month-&quot;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44252928"/>
        <c:crosses val="autoZero"/>
        <c:crossBetween val="midCat"/>
      </c:valAx>
      <c:valAx>
        <c:axId val="144252928"/>
        <c:scaling>
          <c:orientation val="minMax"/>
          <c:min val="0"/>
        </c:scaling>
        <c:delete val="0"/>
        <c:axPos val="l"/>
        <c:majorGridlines>
          <c:spPr>
            <a:ln w="0">
              <a:solidFill>
                <a:schemeClr val="accent1"/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145680640"/>
        <c:crosses val="autoZero"/>
        <c:crossBetween val="midCat"/>
      </c:valAx>
      <c:valAx>
        <c:axId val="144254464"/>
        <c:scaling>
          <c:orientation val="minMax"/>
          <c:max val="35"/>
          <c:min val="-5"/>
        </c:scaling>
        <c:delete val="0"/>
        <c:axPos val="r"/>
        <c:numFmt formatCode="General" sourceLinked="1"/>
        <c:majorTickMark val="out"/>
        <c:minorTickMark val="none"/>
        <c:tickLblPos val="nextTo"/>
        <c:crossAx val="144256000"/>
        <c:crosses val="max"/>
        <c:crossBetween val="midCat"/>
      </c:valAx>
      <c:valAx>
        <c:axId val="144256000"/>
        <c:scaling>
          <c:orientation val="minMax"/>
        </c:scaling>
        <c:delete val="1"/>
        <c:axPos val="b"/>
        <c:numFmt formatCode="&quot;Month-&quot;0" sourceLinked="1"/>
        <c:majorTickMark val="out"/>
        <c:minorTickMark val="none"/>
        <c:tickLblPos val="none"/>
        <c:crossAx val="144254464"/>
        <c:crosses val="autoZero"/>
        <c:crossBetween val="midCat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760419456224523E-2"/>
          <c:y val="1.496559917962062E-2"/>
          <c:w val="0.73684446770014445"/>
          <c:h val="0.85806537062655863"/>
        </c:manualLayout>
      </c:layout>
      <c:scatterChart>
        <c:scatterStyle val="lineMarker"/>
        <c:varyColors val="0"/>
        <c:ser>
          <c:idx val="2"/>
          <c:order val="1"/>
          <c:tx>
            <c:strRef>
              <c:f>'Tracking Model'!$I$10</c:f>
              <c:strCache>
                <c:ptCount val="1"/>
                <c:pt idx="0">
                  <c:v>Accumulated lines-of-code</c:v>
                </c:pt>
              </c:strCache>
            </c:strRef>
          </c:tx>
          <c:xVal>
            <c:numRef>
              <c:f>'Tracking Model'!$A$12:$A$42</c:f>
              <c:numCache>
                <c:formatCode>"Month-"0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'Tracking Model'!$I$12:$I$42</c:f>
              <c:numCache>
                <c:formatCode>0</c:formatCode>
                <c:ptCount val="31"/>
                <c:pt idx="0">
                  <c:v>1809.0958460944796</c:v>
                </c:pt>
                <c:pt idx="1">
                  <c:v>3618.1916921889592</c:v>
                </c:pt>
                <c:pt idx="2">
                  <c:v>6070.2456390687876</c:v>
                </c:pt>
                <c:pt idx="3">
                  <c:v>8522.2995859486164</c:v>
                </c:pt>
                <c:pt idx="4">
                  <c:v>10974.353532828445</c:v>
                </c:pt>
                <c:pt idx="5">
                  <c:v>13426.407479708274</c:v>
                </c:pt>
                <c:pt idx="6">
                  <c:v>15878.461426588103</c:v>
                </c:pt>
                <c:pt idx="7">
                  <c:v>18330.515373467933</c:v>
                </c:pt>
                <c:pt idx="8">
                  <c:v>20782.569320347764</c:v>
                </c:pt>
                <c:pt idx="9">
                  <c:v>23234.623267227595</c:v>
                </c:pt>
                <c:pt idx="10">
                  <c:v>25686.677214107425</c:v>
                </c:pt>
                <c:pt idx="11">
                  <c:v>28138.731160987256</c:v>
                </c:pt>
                <c:pt idx="12">
                  <c:v>32262.577908867195</c:v>
                </c:pt>
                <c:pt idx="13">
                  <c:v>36386.424656747135</c:v>
                </c:pt>
                <c:pt idx="14">
                  <c:v>40510.271404627078</c:v>
                </c:pt>
                <c:pt idx="15">
                  <c:v>45385.38822790519</c:v>
                </c:pt>
                <c:pt idx="16">
                  <c:v>50260.505051183303</c:v>
                </c:pt>
                <c:pt idx="17">
                  <c:v>54889.776097472983</c:v>
                </c:pt>
                <c:pt idx="18">
                  <c:v>59519.047143762662</c:v>
                </c:pt>
                <c:pt idx="19">
                  <c:v>64635.942906121942</c:v>
                </c:pt>
                <c:pt idx="20">
                  <c:v>69752.838668481229</c:v>
                </c:pt>
                <c:pt idx="21">
                  <c:v>74869.734430840515</c:v>
                </c:pt>
                <c:pt idx="22">
                  <c:v>79744.851254118621</c:v>
                </c:pt>
                <c:pt idx="23">
                  <c:v>84619.968077396727</c:v>
                </c:pt>
                <c:pt idx="24">
                  <c:v>90669.04461664072</c:v>
                </c:pt>
                <c:pt idx="25">
                  <c:v>96718.121155884728</c:v>
                </c:pt>
                <c:pt idx="26">
                  <c:v>102767.19769512874</c:v>
                </c:pt>
                <c:pt idx="27">
                  <c:v>108816.27423437274</c:v>
                </c:pt>
                <c:pt idx="28">
                  <c:v>116392.264466679</c:v>
                </c:pt>
                <c:pt idx="29">
                  <c:v>123968.25469898526</c:v>
                </c:pt>
                <c:pt idx="30">
                  <c:v>131544.24493129153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'Tracking Model'!$N$10</c:f>
              <c:strCache>
                <c:ptCount val="1"/>
                <c:pt idx="0">
                  <c:v>Actual (Measured) LOC</c:v>
                </c:pt>
              </c:strCache>
            </c:strRef>
          </c:tx>
          <c:marker>
            <c:symbol val="diamond"/>
            <c:size val="12"/>
          </c:marker>
          <c:xVal>
            <c:numRef>
              <c:f>'Tracking Model'!$A$12:$A$42</c:f>
              <c:numCache>
                <c:formatCode>"Month-"0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'Tracking Model'!$N$12:$N$42</c:f>
              <c:numCache>
                <c:formatCode>General</c:formatCode>
                <c:ptCount val="31"/>
                <c:pt idx="0" formatCode="0">
                  <c:v>0</c:v>
                </c:pt>
                <c:pt idx="10" formatCode="0">
                  <c:v>18151</c:v>
                </c:pt>
                <c:pt idx="26" formatCode="0">
                  <c:v>110061</c:v>
                </c:pt>
                <c:pt idx="30" formatCode="0">
                  <c:v>137180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465856"/>
        <c:axId val="144290176"/>
      </c:scatterChart>
      <c:scatterChart>
        <c:scatterStyle val="lineMarker"/>
        <c:varyColors val="0"/>
        <c:ser>
          <c:idx val="1"/>
          <c:order val="0"/>
          <c:tx>
            <c:strRef>
              <c:f>'Tracking Model'!$M$10</c:f>
              <c:strCache>
                <c:ptCount val="1"/>
                <c:pt idx="0">
                  <c:v>Actual Project Resources </c:v>
                </c:pt>
              </c:strCache>
            </c:strRef>
          </c:tx>
          <c:xVal>
            <c:numRef>
              <c:f>'Tracking Model'!$A$12:$A$42</c:f>
              <c:numCache>
                <c:formatCode>"Month-"0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'Tracking Model'!$M$12:$M$42</c:f>
              <c:numCache>
                <c:formatCode>General</c:formatCode>
                <c:ptCount val="31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15</c:v>
                </c:pt>
                <c:pt idx="16">
                  <c:v>15</c:v>
                </c:pt>
                <c:pt idx="17">
                  <c:v>14</c:v>
                </c:pt>
                <c:pt idx="18">
                  <c:v>14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15</c:v>
                </c:pt>
                <c:pt idx="23">
                  <c:v>15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27</c:v>
                </c:pt>
                <c:pt idx="29">
                  <c:v>27</c:v>
                </c:pt>
                <c:pt idx="30">
                  <c:v>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293248"/>
        <c:axId val="144291712"/>
      </c:scatterChart>
      <c:valAx>
        <c:axId val="99465856"/>
        <c:scaling>
          <c:orientation val="minMax"/>
        </c:scaling>
        <c:delete val="0"/>
        <c:axPos val="b"/>
        <c:numFmt formatCode="&quot;Month-&quot;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44290176"/>
        <c:crosses val="autoZero"/>
        <c:crossBetween val="midCat"/>
      </c:valAx>
      <c:valAx>
        <c:axId val="1442901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9465856"/>
        <c:crosses val="autoZero"/>
        <c:crossBetween val="midCat"/>
      </c:valAx>
      <c:valAx>
        <c:axId val="14429171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44293248"/>
        <c:crosses val="max"/>
        <c:crossBetween val="midCat"/>
      </c:valAx>
      <c:valAx>
        <c:axId val="144293248"/>
        <c:scaling>
          <c:orientation val="minMax"/>
        </c:scaling>
        <c:delete val="1"/>
        <c:axPos val="b"/>
        <c:numFmt formatCode="&quot;Month-&quot;0" sourceLinked="1"/>
        <c:majorTickMark val="out"/>
        <c:minorTickMark val="none"/>
        <c:tickLblPos val="none"/>
        <c:crossAx val="144291712"/>
        <c:crosses val="autoZero"/>
        <c:crossBetween val="midCat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523874</xdr:colOff>
      <xdr:row>11</xdr:row>
      <xdr:rowOff>142875</xdr:rowOff>
    </xdr:from>
    <xdr:to>
      <xdr:col>13</xdr:col>
      <xdr:colOff>457199</xdr:colOff>
      <xdr:row>26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552449</xdr:colOff>
      <xdr:row>25</xdr:row>
      <xdr:rowOff>57149</xdr:rowOff>
    </xdr:from>
    <xdr:to>
      <xdr:col>10</xdr:col>
      <xdr:colOff>752475</xdr:colOff>
      <xdr:row>42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25</xdr:row>
      <xdr:rowOff>66675</xdr:rowOff>
    </xdr:from>
    <xdr:to>
      <xdr:col>4</xdr:col>
      <xdr:colOff>266700</xdr:colOff>
      <xdr:row>42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323849</xdr:colOff>
      <xdr:row>9</xdr:row>
      <xdr:rowOff>19050</xdr:rowOff>
    </xdr:from>
    <xdr:to>
      <xdr:col>36</xdr:col>
      <xdr:colOff>581024</xdr:colOff>
      <xdr:row>32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419100</xdr:colOff>
      <xdr:row>35</xdr:row>
      <xdr:rowOff>85725</xdr:rowOff>
    </xdr:from>
    <xdr:to>
      <xdr:col>37</xdr:col>
      <xdr:colOff>66675</xdr:colOff>
      <xdr:row>67</xdr:row>
      <xdr:rowOff>152401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0.16409</cdr:x>
      <cdr:y>0.04991</cdr:y>
    </cdr:from>
    <cdr:to>
      <cdr:x>0.54184</cdr:x>
      <cdr:y>0.18761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24050" y="276225"/>
          <a:ext cx="4429125" cy="762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2000" b="1"/>
            <a:t>Scope</a:t>
          </a:r>
          <a:r>
            <a:rPr lang="en-US" sz="2000" b="1" baseline="0"/>
            <a:t> and Resource Profile</a:t>
          </a:r>
        </a:p>
        <a:p xmlns:a="http://schemas.openxmlformats.org/drawingml/2006/main">
          <a:pPr algn="ctr"/>
          <a:r>
            <a:rPr lang="en-US" sz="2000" b="1" baseline="0"/>
            <a:t>based on scope growth and discovery</a:t>
          </a:r>
          <a:endParaRPr lang="en-US" sz="2000" b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0.10317</cdr:x>
      <cdr:y>0.03098</cdr:y>
    </cdr:from>
    <cdr:to>
      <cdr:x>0.59789</cdr:x>
      <cdr:y>0.17384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09676" y="171444"/>
          <a:ext cx="5800724" cy="790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000" b="1"/>
            <a:t>Predicted</a:t>
          </a:r>
          <a:r>
            <a:rPr lang="en-US" sz="2000" b="1" baseline="0"/>
            <a:t> versus Measured LOC</a:t>
          </a:r>
        </a:p>
        <a:p xmlns:a="http://schemas.openxmlformats.org/drawingml/2006/main">
          <a:pPr algn="ctr"/>
          <a:r>
            <a:rPr lang="en-US" sz="2000" b="1" baseline="0"/>
            <a:t>based on modelled productivity of actual resources</a:t>
          </a:r>
          <a:endParaRPr lang="en-US" sz="20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0"/>
  <sheetViews>
    <sheetView tabSelected="1" workbookViewId="0">
      <selection activeCell="Q26" sqref="Q26"/>
    </sheetView>
  </sheetViews>
  <sheetFormatPr defaultRowHeight="15" x14ac:dyDescent="0.25"/>
  <cols>
    <col min="1" max="1" width="12.42578125" customWidth="1"/>
  </cols>
  <sheetData>
    <row r="4" spans="1:12" x14ac:dyDescent="0.25">
      <c r="A4" t="s">
        <v>72</v>
      </c>
      <c r="D4" s="61" t="s">
        <v>77</v>
      </c>
      <c r="E4" s="61"/>
      <c r="F4" s="61"/>
      <c r="G4" s="61"/>
      <c r="H4" s="61"/>
      <c r="I4" s="61"/>
      <c r="J4" s="61"/>
      <c r="K4" s="61"/>
      <c r="L4" s="61"/>
    </row>
    <row r="5" spans="1:12" x14ac:dyDescent="0.25">
      <c r="D5">
        <v>1</v>
      </c>
      <c r="E5">
        <v>2</v>
      </c>
      <c r="F5">
        <v>3</v>
      </c>
      <c r="G5">
        <v>4</v>
      </c>
      <c r="H5">
        <v>5</v>
      </c>
      <c r="I5">
        <v>6</v>
      </c>
      <c r="J5">
        <v>7</v>
      </c>
      <c r="K5">
        <v>8</v>
      </c>
      <c r="L5">
        <v>9</v>
      </c>
    </row>
    <row r="6" spans="1:12" x14ac:dyDescent="0.25">
      <c r="A6" t="s">
        <v>78</v>
      </c>
      <c r="D6" s="60">
        <v>1000000</v>
      </c>
      <c r="E6" s="60">
        <v>1000000</v>
      </c>
      <c r="F6" s="60">
        <v>1000000</v>
      </c>
      <c r="G6" s="60">
        <v>1000000</v>
      </c>
      <c r="H6" s="60">
        <v>1000000</v>
      </c>
      <c r="I6" s="60">
        <v>1000000</v>
      </c>
      <c r="J6" s="60">
        <v>1000000</v>
      </c>
      <c r="K6" s="60">
        <v>1000000</v>
      </c>
      <c r="L6" s="60">
        <v>1000000</v>
      </c>
    </row>
    <row r="7" spans="1:12" x14ac:dyDescent="0.25">
      <c r="A7" t="s">
        <v>75</v>
      </c>
      <c r="B7" s="59">
        <v>0.13</v>
      </c>
      <c r="D7" s="60">
        <f>$B$7*C10</f>
        <v>0</v>
      </c>
      <c r="E7" s="60">
        <f>$B$7*D10</f>
        <v>130000</v>
      </c>
      <c r="F7" s="60">
        <f t="shared" ref="F7:L7" si="0">$B$7*E10</f>
        <v>243100</v>
      </c>
      <c r="G7" s="60">
        <f t="shared" si="0"/>
        <v>341497</v>
      </c>
      <c r="H7" s="60">
        <f t="shared" si="0"/>
        <v>427102.39</v>
      </c>
      <c r="I7" s="60">
        <f t="shared" si="0"/>
        <v>501579.07930000004</v>
      </c>
      <c r="J7" s="60">
        <f t="shared" si="0"/>
        <v>566373.79899100005</v>
      </c>
      <c r="K7" s="60">
        <f t="shared" si="0"/>
        <v>622745.20512217004</v>
      </c>
      <c r="L7" s="60">
        <f t="shared" si="0"/>
        <v>671788.32845628785</v>
      </c>
    </row>
    <row r="8" spans="1:12" x14ac:dyDescent="0.25">
      <c r="A8" t="s">
        <v>76</v>
      </c>
      <c r="B8" s="59">
        <v>0.13</v>
      </c>
      <c r="D8" s="60">
        <f>IF(( D6-$B$8*C10)&lt;D7,D6-D7,$B$8*C10)</f>
        <v>0</v>
      </c>
      <c r="E8" s="60">
        <f>IF(( E6-$B$8*D10)&lt;E7,E6-E7,$B$8*D10)</f>
        <v>130000</v>
      </c>
      <c r="F8" s="60">
        <f>IF(( F6-$B$8*E10)&lt;F7,F6-F7,$B$8*E10)</f>
        <v>243100</v>
      </c>
      <c r="G8" s="60">
        <f>IF(( G6-$B$8*F10)&lt;G7,G6-G7,$B$8*F10)</f>
        <v>341497</v>
      </c>
      <c r="H8" s="60">
        <f t="shared" ref="H8:L8" si="1">IF(( H6-$B$8*G10)&lt;H7,H6-H7,$B$8*G10)</f>
        <v>427102.39</v>
      </c>
      <c r="I8" s="60">
        <f t="shared" si="1"/>
        <v>498420.92069999996</v>
      </c>
      <c r="J8" s="60">
        <f t="shared" si="1"/>
        <v>433626.20100899995</v>
      </c>
      <c r="K8" s="60">
        <f t="shared" si="1"/>
        <v>377254.79487782996</v>
      </c>
      <c r="L8" s="60">
        <f t="shared" si="1"/>
        <v>328211.67154371215</v>
      </c>
    </row>
    <row r="9" spans="1:12" x14ac:dyDescent="0.25">
      <c r="A9" t="s">
        <v>80</v>
      </c>
      <c r="D9" s="60">
        <f t="shared" ref="D9" si="2">IF((D6-D7-D8)&gt;0,(D6-D7-D8),0)</f>
        <v>1000000</v>
      </c>
      <c r="E9" s="60">
        <f t="shared" ref="E9:I9" si="3">IF((E6-E7-E8)&gt;0,(E6-E7-E8),0)</f>
        <v>740000</v>
      </c>
      <c r="F9" s="60">
        <f t="shared" si="3"/>
        <v>513800</v>
      </c>
      <c r="G9" s="60">
        <f t="shared" si="3"/>
        <v>317006</v>
      </c>
      <c r="H9" s="60">
        <f t="shared" si="3"/>
        <v>145795.21999999997</v>
      </c>
      <c r="I9" s="60">
        <f t="shared" si="3"/>
        <v>0</v>
      </c>
      <c r="J9" s="60">
        <f>IF((J6-J7-J8)&gt;0,(J6-J7-J8),0)</f>
        <v>0</v>
      </c>
      <c r="K9" s="60">
        <f t="shared" ref="K9:L9" si="4">IF((K6-K7-K8)&gt;0,(K6-K7-K8),0)</f>
        <v>0</v>
      </c>
      <c r="L9" s="60">
        <f t="shared" si="4"/>
        <v>0</v>
      </c>
    </row>
    <row r="10" spans="1:12" x14ac:dyDescent="0.25">
      <c r="A10" t="s">
        <v>79</v>
      </c>
      <c r="C10">
        <v>0</v>
      </c>
      <c r="D10" s="60">
        <f>D8+C10+D9</f>
        <v>1000000</v>
      </c>
      <c r="E10" s="60">
        <f>E8+D10+E9</f>
        <v>1870000</v>
      </c>
      <c r="F10" s="60">
        <f t="shared" ref="F10:L10" si="5">F8+E10+F9</f>
        <v>2626900</v>
      </c>
      <c r="G10" s="60">
        <f t="shared" si="5"/>
        <v>3285403</v>
      </c>
      <c r="H10" s="60">
        <f t="shared" si="5"/>
        <v>3858300.6100000003</v>
      </c>
      <c r="I10" s="60">
        <f t="shared" si="5"/>
        <v>4356721.5307</v>
      </c>
      <c r="J10" s="60">
        <f t="shared" si="5"/>
        <v>4790347.7317089997</v>
      </c>
      <c r="K10" s="60">
        <f t="shared" si="5"/>
        <v>5167602.5265868297</v>
      </c>
      <c r="L10" s="60">
        <f t="shared" si="5"/>
        <v>5495814.1981305415</v>
      </c>
    </row>
  </sheetData>
  <mergeCells count="1">
    <mergeCell ref="D4:L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G14" sqref="G14"/>
    </sheetView>
  </sheetViews>
  <sheetFormatPr defaultRowHeight="12.75" x14ac:dyDescent="0.2"/>
  <cols>
    <col min="1" max="1" width="25.7109375" style="35" customWidth="1"/>
    <col min="2" max="2" width="18.28515625" style="4" customWidth="1"/>
    <col min="3" max="3" width="13.5703125" style="4" customWidth="1"/>
    <col min="4" max="4" width="12.7109375" style="4" customWidth="1"/>
    <col min="5" max="5" width="14.7109375" style="4" customWidth="1"/>
    <col min="6" max="6" width="10.7109375" style="4" bestFit="1" customWidth="1"/>
    <col min="7" max="7" width="13.140625" style="4" customWidth="1"/>
    <col min="8" max="8" width="9.140625" style="4" customWidth="1"/>
    <col min="9" max="9" width="9.28515625" style="4" customWidth="1"/>
    <col min="10" max="10" width="7.7109375" style="4" customWidth="1"/>
    <col min="11" max="11" width="26.85546875" style="4" customWidth="1"/>
    <col min="12" max="14" width="14.28515625" style="4" customWidth="1"/>
    <col min="15" max="15" width="13.85546875" style="4" customWidth="1"/>
    <col min="16" max="16" width="15.28515625" style="4" customWidth="1"/>
    <col min="17" max="17" width="7.7109375" style="4" customWidth="1"/>
    <col min="18" max="18" width="9" style="4" bestFit="1" customWidth="1"/>
    <col min="19" max="16384" width="9.140625" style="4"/>
  </cols>
  <sheetData>
    <row r="1" spans="1:10" ht="18" x14ac:dyDescent="0.25">
      <c r="A1" s="63" t="s">
        <v>35</v>
      </c>
      <c r="B1" s="63"/>
      <c r="C1" s="63"/>
      <c r="D1" s="63"/>
      <c r="E1" s="40"/>
      <c r="G1" s="62" t="s">
        <v>43</v>
      </c>
      <c r="H1" s="62"/>
      <c r="I1" s="62"/>
      <c r="J1" s="62"/>
    </row>
    <row r="2" spans="1:10" ht="31.5" x14ac:dyDescent="0.2">
      <c r="A2" s="36" t="s">
        <v>25</v>
      </c>
      <c r="B2" s="36" t="s">
        <v>26</v>
      </c>
      <c r="C2" s="36" t="s">
        <v>32</v>
      </c>
      <c r="D2" s="37" t="s">
        <v>22</v>
      </c>
      <c r="E2" s="41" t="s">
        <v>33</v>
      </c>
      <c r="F2" s="38"/>
      <c r="G2" s="6" t="s">
        <v>6</v>
      </c>
      <c r="H2" s="6" t="s">
        <v>7</v>
      </c>
      <c r="I2" s="6" t="s">
        <v>8</v>
      </c>
      <c r="J2" s="6" t="s">
        <v>9</v>
      </c>
    </row>
    <row r="3" spans="1:10" ht="15" x14ac:dyDescent="0.25">
      <c r="A3" s="33" t="s">
        <v>23</v>
      </c>
      <c r="B3" s="30" t="s">
        <v>27</v>
      </c>
      <c r="C3" s="26" t="s">
        <v>24</v>
      </c>
      <c r="D3" s="29">
        <v>0.4</v>
      </c>
      <c r="E3" s="42">
        <v>0.4</v>
      </c>
      <c r="G3" s="7" t="s">
        <v>10</v>
      </c>
      <c r="H3" s="7">
        <v>0.43</v>
      </c>
      <c r="I3" s="7">
        <v>0.45</v>
      </c>
      <c r="J3" s="7">
        <v>0.48</v>
      </c>
    </row>
    <row r="4" spans="1:10" x14ac:dyDescent="0.2">
      <c r="A4" s="33" t="s">
        <v>0</v>
      </c>
      <c r="B4" s="30" t="s">
        <v>4</v>
      </c>
      <c r="C4" s="26" t="s">
        <v>4</v>
      </c>
      <c r="D4" s="30">
        <f>originalscope</f>
        <v>75000</v>
      </c>
      <c r="E4" s="43">
        <f>originalscope</f>
        <v>75000</v>
      </c>
      <c r="G4" s="7" t="s">
        <v>11</v>
      </c>
      <c r="H4" s="7">
        <v>0.41</v>
      </c>
      <c r="I4" s="7">
        <v>0.43</v>
      </c>
      <c r="J4" s="7">
        <v>0.46</v>
      </c>
    </row>
    <row r="5" spans="1:10" x14ac:dyDescent="0.2">
      <c r="A5" s="33" t="s">
        <v>1</v>
      </c>
      <c r="B5" s="30" t="s">
        <v>1</v>
      </c>
      <c r="C5" s="26" t="s">
        <v>37</v>
      </c>
      <c r="D5" s="30">
        <v>54</v>
      </c>
      <c r="E5" s="43">
        <v>54</v>
      </c>
      <c r="G5" s="7" t="s">
        <v>12</v>
      </c>
      <c r="H5" s="7">
        <v>0.39</v>
      </c>
      <c r="I5" s="7">
        <v>0.42</v>
      </c>
      <c r="J5" s="7">
        <v>0.45</v>
      </c>
    </row>
    <row r="6" spans="1:10" x14ac:dyDescent="0.2">
      <c r="A6" s="33" t="s">
        <v>2</v>
      </c>
      <c r="B6" s="30" t="s">
        <v>5</v>
      </c>
      <c r="C6" s="26" t="s">
        <v>5</v>
      </c>
      <c r="D6" s="31">
        <f>D4/D5</f>
        <v>1388.8888888888889</v>
      </c>
      <c r="E6" s="44">
        <f>E4/E5</f>
        <v>1388.8888888888889</v>
      </c>
    </row>
    <row r="7" spans="1:10" ht="14.25" x14ac:dyDescent="0.2">
      <c r="A7" s="34" t="s">
        <v>36</v>
      </c>
      <c r="B7" s="30" t="s">
        <v>28</v>
      </c>
      <c r="C7" s="27" t="s">
        <v>38</v>
      </c>
      <c r="D7" s="32">
        <f>D6^D3</f>
        <v>18.074529519961647</v>
      </c>
      <c r="E7" s="45">
        <f>E6^E3</f>
        <v>18.074529519961647</v>
      </c>
    </row>
    <row r="8" spans="1:10" ht="14.25" x14ac:dyDescent="0.2">
      <c r="A8" s="34" t="s">
        <v>3</v>
      </c>
      <c r="B8" s="30" t="s">
        <v>29</v>
      </c>
      <c r="C8" s="28" t="s">
        <v>39</v>
      </c>
      <c r="D8" s="32">
        <f>(D6^(2*D3))/27</f>
        <v>12.099578421035741</v>
      </c>
      <c r="E8" s="45">
        <f>(E6^(2*E3))/27</f>
        <v>12.099578421035741</v>
      </c>
    </row>
    <row r="9" spans="1:10" ht="14.25" x14ac:dyDescent="0.2">
      <c r="A9" s="34" t="s">
        <v>31</v>
      </c>
      <c r="B9" s="30" t="s">
        <v>41</v>
      </c>
      <c r="C9" s="27" t="s">
        <v>40</v>
      </c>
      <c r="D9" s="32">
        <f>D6^(3*D3)/27</f>
        <v>218.69418735010152</v>
      </c>
      <c r="E9" s="45">
        <f>E6^(3*E3)/27</f>
        <v>218.69418735010152</v>
      </c>
    </row>
    <row r="10" spans="1:10" x14ac:dyDescent="0.2">
      <c r="A10" s="34" t="s">
        <v>30</v>
      </c>
      <c r="B10" s="30" t="s">
        <v>42</v>
      </c>
      <c r="C10" s="27" t="s">
        <v>34</v>
      </c>
      <c r="D10" s="32">
        <f>D4/D9</f>
        <v>342.9446429681945</v>
      </c>
      <c r="E10" s="45">
        <f>E4/E9</f>
        <v>342.9446429681945</v>
      </c>
    </row>
    <row r="12" spans="1:10" x14ac:dyDescent="0.2">
      <c r="A12" s="4"/>
    </row>
    <row r="13" spans="1:10" ht="38.25" x14ac:dyDescent="0.2">
      <c r="A13" s="47" t="s">
        <v>4</v>
      </c>
      <c r="B13" s="47" t="s">
        <v>45</v>
      </c>
      <c r="C13" s="47" t="s">
        <v>46</v>
      </c>
      <c r="D13" s="47" t="s">
        <v>44</v>
      </c>
      <c r="E13" s="47" t="s">
        <v>47</v>
      </c>
    </row>
    <row r="14" spans="1:10" x14ac:dyDescent="0.2">
      <c r="A14" s="30">
        <v>10000</v>
      </c>
      <c r="B14" s="46">
        <f>(A14/$D$5)^$D$3</f>
        <v>8.0731402272248207</v>
      </c>
      <c r="C14" s="31">
        <f>(A14/$D$5)^(2*$D$3)/27</f>
        <v>2.4139108566087271</v>
      </c>
      <c r="D14" s="31">
        <f>B14*C14</f>
        <v>19.487840841422642</v>
      </c>
      <c r="E14" s="31">
        <f>A14/D14</f>
        <v>513.14047981879889</v>
      </c>
    </row>
    <row r="15" spans="1:10" x14ac:dyDescent="0.2">
      <c r="A15" s="30">
        <v>20000</v>
      </c>
      <c r="B15" s="46">
        <f t="shared" ref="B15:B24" si="0">(A15/$D$5)^$D$3</f>
        <v>10.652572394602032</v>
      </c>
      <c r="C15" s="31">
        <f t="shared" ref="C15:C23" si="1">(A15/$D$5)^(2*$D$3)/27</f>
        <v>4.2028629119347141</v>
      </c>
      <c r="D15" s="31">
        <f t="shared" ref="D15:D23" si="2">B15*C15</f>
        <v>44.771301433972447</v>
      </c>
      <c r="E15" s="31">
        <f t="shared" ref="E15:E23" si="3">A15/D15</f>
        <v>446.71473375629881</v>
      </c>
    </row>
    <row r="16" spans="1:10" x14ac:dyDescent="0.2">
      <c r="A16" s="30">
        <v>30000</v>
      </c>
      <c r="B16" s="46">
        <f t="shared" si="0"/>
        <v>12.528266929216878</v>
      </c>
      <c r="C16" s="31">
        <f t="shared" si="1"/>
        <v>5.8132397129521962</v>
      </c>
      <c r="D16" s="31">
        <f t="shared" si="2"/>
        <v>72.82981884738922</v>
      </c>
      <c r="E16" s="31">
        <f t="shared" si="3"/>
        <v>411.91919017213689</v>
      </c>
    </row>
    <row r="17" spans="1:5" x14ac:dyDescent="0.2">
      <c r="A17" s="30">
        <v>40000</v>
      </c>
      <c r="B17" s="46">
        <f t="shared" si="0"/>
        <v>14.056153544758336</v>
      </c>
      <c r="C17" s="31">
        <f t="shared" si="1"/>
        <v>7.317609350882309</v>
      </c>
      <c r="D17" s="31">
        <f t="shared" si="2"/>
        <v>102.85744061656112</v>
      </c>
      <c r="E17" s="31">
        <f t="shared" si="3"/>
        <v>388.88776310422389</v>
      </c>
    </row>
    <row r="18" spans="1:5" x14ac:dyDescent="0.2">
      <c r="A18" s="30">
        <v>50000</v>
      </c>
      <c r="B18" s="46">
        <f t="shared" si="0"/>
        <v>15.368465191362136</v>
      </c>
      <c r="C18" s="31">
        <f t="shared" si="1"/>
        <v>8.7477674940040586</v>
      </c>
      <c r="D18" s="31">
        <f t="shared" si="2"/>
        <v>134.43976023373057</v>
      </c>
      <c r="E18" s="31">
        <f t="shared" si="3"/>
        <v>371.91378438248017</v>
      </c>
    </row>
    <row r="19" spans="1:5" x14ac:dyDescent="0.2">
      <c r="A19" s="30">
        <v>60000</v>
      </c>
      <c r="B19" s="46">
        <f t="shared" si="0"/>
        <v>16.531147321376107</v>
      </c>
      <c r="C19" s="31">
        <f t="shared" si="1"/>
        <v>10.121438213371867</v>
      </c>
      <c r="D19" s="31">
        <f t="shared" si="2"/>
        <v>167.31898620945611</v>
      </c>
      <c r="E19" s="31">
        <f t="shared" si="3"/>
        <v>358.59648303683701</v>
      </c>
    </row>
    <row r="20" spans="1:5" x14ac:dyDescent="0.2">
      <c r="A20" s="30">
        <v>70000</v>
      </c>
      <c r="B20" s="46">
        <f t="shared" si="0"/>
        <v>17.582543966623305</v>
      </c>
      <c r="C20" s="31">
        <f t="shared" si="1"/>
        <v>11.449846382897839</v>
      </c>
      <c r="D20" s="31">
        <f t="shared" si="2"/>
        <v>201.31742743838407</v>
      </c>
      <c r="E20" s="31">
        <f t="shared" si="3"/>
        <v>347.70958923277743</v>
      </c>
    </row>
    <row r="21" spans="1:5" x14ac:dyDescent="0.2">
      <c r="A21" s="30">
        <f>originalscope</f>
        <v>75000</v>
      </c>
      <c r="B21" s="46">
        <f t="shared" si="0"/>
        <v>18.074529519961647</v>
      </c>
      <c r="C21" s="31">
        <f t="shared" ref="C21" si="4">(A21/$D$5)^(2*$D$3)/27</f>
        <v>12.099578421035741</v>
      </c>
      <c r="D21" s="31">
        <f t="shared" ref="D21" si="5">B21*C21</f>
        <v>218.69418735010143</v>
      </c>
      <c r="E21" s="31">
        <f t="shared" ref="E21" si="6">A21/D21</f>
        <v>342.94464296819461</v>
      </c>
    </row>
    <row r="22" spans="1:5" x14ac:dyDescent="0.2">
      <c r="A22" s="30">
        <v>80000</v>
      </c>
      <c r="B22" s="46">
        <f t="shared" si="0"/>
        <v>18.547205797347086</v>
      </c>
      <c r="C22" s="31">
        <f t="shared" si="1"/>
        <v>12.74069788478316</v>
      </c>
      <c r="D22" s="31">
        <f t="shared" si="2"/>
        <v>236.30434567089799</v>
      </c>
      <c r="E22" s="31">
        <f t="shared" si="3"/>
        <v>338.54646122935173</v>
      </c>
    </row>
    <row r="23" spans="1:5" x14ac:dyDescent="0.2">
      <c r="A23" s="30">
        <v>90000</v>
      </c>
      <c r="B23" s="46">
        <f t="shared" si="0"/>
        <v>19.441935582935393</v>
      </c>
      <c r="C23" s="31">
        <f t="shared" si="1"/>
        <v>13.999587378185531</v>
      </c>
      <c r="D23" s="31">
        <f t="shared" si="2"/>
        <v>272.17907599435847</v>
      </c>
      <c r="E23" s="31">
        <f t="shared" si="3"/>
        <v>330.6646540377904</v>
      </c>
    </row>
    <row r="24" spans="1:5" x14ac:dyDescent="0.2">
      <c r="A24" s="30">
        <v>100000</v>
      </c>
      <c r="B24" s="46">
        <f t="shared" si="0"/>
        <v>20.278811396440201</v>
      </c>
      <c r="C24" s="31">
        <f t="shared" ref="C24" si="7">(A24/$D$5)^(2*$D$3)/27</f>
        <v>15.230747838977516</v>
      </c>
      <c r="D24" s="31">
        <f t="shared" ref="D24" si="8">B24*C24</f>
        <v>308.86146285336423</v>
      </c>
      <c r="E24" s="31">
        <f t="shared" ref="E24" si="9">A24/D24</f>
        <v>323.76975449176132</v>
      </c>
    </row>
    <row r="25" spans="1:5" x14ac:dyDescent="0.2">
      <c r="A25" s="4"/>
      <c r="B25" s="39"/>
      <c r="C25" s="5"/>
    </row>
  </sheetData>
  <mergeCells count="2">
    <mergeCell ref="G1:J1"/>
    <mergeCell ref="A1:D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opLeftCell="A14" workbookViewId="0">
      <selection activeCell="F45" sqref="F45"/>
    </sheetView>
  </sheetViews>
  <sheetFormatPr defaultRowHeight="12.75" x14ac:dyDescent="0.2"/>
  <cols>
    <col min="1" max="1" width="9.140625" style="4" customWidth="1"/>
    <col min="2" max="2" width="10.5703125" style="4" customWidth="1"/>
    <col min="3" max="3" width="9.85546875" style="4" customWidth="1"/>
    <col min="4" max="4" width="12.85546875" style="4" customWidth="1"/>
    <col min="5" max="5" width="10.85546875" style="4" customWidth="1"/>
    <col min="6" max="6" width="12.42578125" style="4" customWidth="1"/>
    <col min="7" max="7" width="12.28515625" style="4" customWidth="1"/>
    <col min="8" max="8" width="12" style="4" bestFit="1" customWidth="1"/>
    <col min="9" max="9" width="12.85546875" style="4" customWidth="1"/>
    <col min="10" max="11" width="11.5703125" style="4" customWidth="1"/>
    <col min="12" max="12" width="11.85546875" style="4" customWidth="1"/>
    <col min="13" max="13" width="10.85546875" style="4" customWidth="1"/>
    <col min="14" max="14" width="11.140625" style="4" customWidth="1"/>
    <col min="15" max="15" width="10" style="4" customWidth="1"/>
    <col min="16" max="16" width="12" style="4" customWidth="1"/>
    <col min="17" max="17" width="9.85546875" style="4" customWidth="1"/>
    <col min="18" max="18" width="9.140625" style="4"/>
    <col min="19" max="19" width="11.7109375" style="4" customWidth="1"/>
    <col min="20" max="20" width="7.42578125" style="4" customWidth="1"/>
    <col min="21" max="16384" width="9.140625" style="4"/>
  </cols>
  <sheetData>
    <row r="1" spans="1:17" x14ac:dyDescent="0.2">
      <c r="A1" s="65" t="s">
        <v>72</v>
      </c>
      <c r="B1" s="66"/>
      <c r="C1" s="67"/>
    </row>
    <row r="2" spans="1:17" x14ac:dyDescent="0.2">
      <c r="A2" s="57" t="s">
        <v>1</v>
      </c>
      <c r="B2" s="43"/>
      <c r="C2" s="55">
        <v>54</v>
      </c>
      <c r="H2" s="24"/>
      <c r="I2" s="24"/>
    </row>
    <row r="3" spans="1:17" x14ac:dyDescent="0.2">
      <c r="A3" s="57" t="s">
        <v>20</v>
      </c>
      <c r="B3" s="43"/>
      <c r="C3" s="55">
        <v>80</v>
      </c>
    </row>
    <row r="4" spans="1:17" x14ac:dyDescent="0.2">
      <c r="A4" s="57" t="s">
        <v>60</v>
      </c>
      <c r="B4" s="43"/>
      <c r="C4" s="43">
        <v>0.4</v>
      </c>
    </row>
    <row r="5" spans="1:17" x14ac:dyDescent="0.2">
      <c r="A5" s="57" t="s">
        <v>21</v>
      </c>
      <c r="B5" s="43"/>
      <c r="C5" s="56">
        <v>75000</v>
      </c>
      <c r="I5" s="24"/>
    </row>
    <row r="6" spans="1:17" x14ac:dyDescent="0.2">
      <c r="A6" s="57" t="s">
        <v>61</v>
      </c>
      <c r="B6" s="43"/>
      <c r="C6" s="43">
        <v>5</v>
      </c>
    </row>
    <row r="7" spans="1:17" x14ac:dyDescent="0.2">
      <c r="A7" s="57" t="s">
        <v>62</v>
      </c>
      <c r="B7" s="43"/>
      <c r="C7" s="43">
        <v>15</v>
      </c>
      <c r="E7" s="3"/>
    </row>
    <row r="8" spans="1:17" x14ac:dyDescent="0.2">
      <c r="B8" s="3"/>
      <c r="E8" s="3"/>
    </row>
    <row r="9" spans="1:17" x14ac:dyDescent="0.2">
      <c r="A9" s="25" t="s">
        <v>48</v>
      </c>
      <c r="B9" s="64" t="s">
        <v>21</v>
      </c>
      <c r="C9" s="64"/>
      <c r="D9" s="64"/>
      <c r="E9" s="65" t="s">
        <v>64</v>
      </c>
      <c r="F9" s="66"/>
      <c r="G9" s="66"/>
      <c r="H9" s="66"/>
      <c r="I9" s="66"/>
      <c r="J9" s="67"/>
      <c r="K9" s="64" t="s">
        <v>65</v>
      </c>
      <c r="L9" s="64"/>
      <c r="M9" s="64" t="s">
        <v>66</v>
      </c>
      <c r="N9" s="64"/>
      <c r="O9" s="64"/>
      <c r="P9" s="65" t="s">
        <v>67</v>
      </c>
      <c r="Q9" s="67"/>
    </row>
    <row r="10" spans="1:17" s="2" customFormat="1" ht="63.75" x14ac:dyDescent="0.2">
      <c r="A10" s="25"/>
      <c r="B10" s="25" t="s">
        <v>49</v>
      </c>
      <c r="C10" s="25" t="s">
        <v>53</v>
      </c>
      <c r="D10" s="25" t="s">
        <v>50</v>
      </c>
      <c r="E10" s="25" t="s">
        <v>55</v>
      </c>
      <c r="F10" s="25" t="s">
        <v>51</v>
      </c>
      <c r="G10" s="25" t="s">
        <v>57</v>
      </c>
      <c r="H10" s="25" t="s">
        <v>63</v>
      </c>
      <c r="I10" s="25" t="s">
        <v>59</v>
      </c>
      <c r="J10" s="25" t="s">
        <v>15</v>
      </c>
      <c r="K10" s="25" t="s">
        <v>16</v>
      </c>
      <c r="L10" s="25" t="s">
        <v>17</v>
      </c>
      <c r="M10" s="25" t="s">
        <v>73</v>
      </c>
      <c r="N10" s="25" t="s">
        <v>74</v>
      </c>
      <c r="O10" s="25" t="s">
        <v>18</v>
      </c>
      <c r="P10" s="25" t="s">
        <v>14</v>
      </c>
      <c r="Q10" s="25" t="s">
        <v>19</v>
      </c>
    </row>
    <row r="11" spans="1:17" s="2" customFormat="1" ht="38.25" x14ac:dyDescent="0.2">
      <c r="A11" s="54" t="s">
        <v>13</v>
      </c>
      <c r="B11" s="54" t="s">
        <v>0</v>
      </c>
      <c r="C11" s="54" t="s">
        <v>52</v>
      </c>
      <c r="D11" s="54" t="s">
        <v>0</v>
      </c>
      <c r="E11" s="54" t="s">
        <v>54</v>
      </c>
      <c r="F11" s="54" t="s">
        <v>56</v>
      </c>
      <c r="G11" s="54" t="s">
        <v>58</v>
      </c>
      <c r="H11" s="54" t="s">
        <v>0</v>
      </c>
      <c r="I11" s="54" t="s">
        <v>0</v>
      </c>
      <c r="J11" s="54" t="s">
        <v>0</v>
      </c>
      <c r="K11" s="54" t="s">
        <v>68</v>
      </c>
      <c r="L11" s="54" t="s">
        <v>69</v>
      </c>
      <c r="M11" s="54" t="s">
        <v>70</v>
      </c>
      <c r="N11" s="54" t="s">
        <v>0</v>
      </c>
      <c r="O11" s="54" t="s">
        <v>0</v>
      </c>
      <c r="P11" s="54" t="s">
        <v>71</v>
      </c>
      <c r="Q11" s="54" t="s">
        <v>52</v>
      </c>
    </row>
    <row r="12" spans="1:17" s="2" customFormat="1" x14ac:dyDescent="0.2">
      <c r="A12" s="58">
        <v>1</v>
      </c>
      <c r="B12" s="4">
        <f>originalscope</f>
        <v>75000</v>
      </c>
      <c r="C12" s="9">
        <v>0</v>
      </c>
      <c r="D12" s="5">
        <f>B12</f>
        <v>75000</v>
      </c>
      <c r="E12" s="5">
        <f>(B12/locfp)^J</f>
        <v>18.074529519961647</v>
      </c>
      <c r="F12" s="5">
        <f>(B12/locfp)^(2*J)/27</f>
        <v>12.099578421035741</v>
      </c>
      <c r="G12" s="10">
        <f t="shared" ref="G12:G42" si="0">locfp*27*(27*M12)^((1-3*J)/(2*J))</f>
        <v>452.2739615236199</v>
      </c>
      <c r="H12" s="10">
        <f t="shared" ref="H12:H42" si="1">M12*G12</f>
        <v>1809.0958460944796</v>
      </c>
      <c r="I12" s="10">
        <f>H12</f>
        <v>1809.0958460944796</v>
      </c>
      <c r="J12" s="12">
        <f>B12-I12</f>
        <v>73190.904153905518</v>
      </c>
      <c r="K12" s="13">
        <f>M12*cost*1000/12</f>
        <v>26666.666666666668</v>
      </c>
      <c r="L12" s="14">
        <f t="shared" ref="L12:L42" si="2">K12/I12</f>
        <v>14.740328282901826</v>
      </c>
      <c r="M12" s="3">
        <v>4</v>
      </c>
      <c r="N12" s="49">
        <v>0</v>
      </c>
      <c r="O12" s="49">
        <f>B12-N12</f>
        <v>75000</v>
      </c>
      <c r="P12" s="11">
        <f t="shared" ref="P12:P42" si="3">G12/(locfp*27*(27*ideal)^((1-3*J)/(2*J)))</f>
        <v>1.0573712634405643</v>
      </c>
      <c r="Q12" s="15">
        <f t="shared" ref="Q12:Q42" si="4">(D12/locfp)^(-J)</f>
        <v>5.5326474688903657E-2</v>
      </c>
    </row>
    <row r="13" spans="1:17" s="2" customFormat="1" x14ac:dyDescent="0.2">
      <c r="A13" s="58">
        <v>2</v>
      </c>
      <c r="B13" s="1"/>
      <c r="C13" s="9">
        <v>1.95E-2</v>
      </c>
      <c r="D13" s="5">
        <f>B12*(1+C12)+B13</f>
        <v>75000</v>
      </c>
      <c r="E13" s="5">
        <f t="shared" ref="E13:E42" si="5">(D13/locfp)^J</f>
        <v>18.074529519961647</v>
      </c>
      <c r="F13" s="5">
        <f t="shared" ref="F13:F42" si="6">(D13/locfp)^(2*J)/27</f>
        <v>12.099578421035741</v>
      </c>
      <c r="G13" s="10">
        <f t="shared" si="0"/>
        <v>452.2739615236199</v>
      </c>
      <c r="H13" s="10">
        <f t="shared" si="1"/>
        <v>1809.0958460944796</v>
      </c>
      <c r="I13" s="10">
        <f>H13+I12</f>
        <v>3618.1916921889592</v>
      </c>
      <c r="J13" s="12">
        <f t="shared" ref="J13:J42" si="7">D13-I13</f>
        <v>71381.808307811036</v>
      </c>
      <c r="K13" s="13">
        <f t="shared" ref="K13:K42" si="8">K12+M13*cost*1000/12</f>
        <v>53333.333333333336</v>
      </c>
      <c r="L13" s="14">
        <f t="shared" si="2"/>
        <v>14.740328282901826</v>
      </c>
      <c r="M13" s="3">
        <v>4</v>
      </c>
      <c r="N13" s="51"/>
      <c r="O13" s="51"/>
      <c r="P13" s="11">
        <f t="shared" si="3"/>
        <v>1.0573712634405643</v>
      </c>
      <c r="Q13" s="15">
        <f t="shared" si="4"/>
        <v>5.5326474688903657E-2</v>
      </c>
    </row>
    <row r="14" spans="1:17" x14ac:dyDescent="0.2">
      <c r="A14" s="58">
        <v>3</v>
      </c>
      <c r="C14" s="9">
        <v>1.95E-2</v>
      </c>
      <c r="D14" s="5">
        <f t="shared" ref="D14:D42" si="9">D13*(1+C13)+B14</f>
        <v>76462.5</v>
      </c>
      <c r="E14" s="5">
        <f t="shared" si="5"/>
        <v>18.214694579526071</v>
      </c>
      <c r="F14" s="5">
        <f t="shared" si="6"/>
        <v>12.287966615756167</v>
      </c>
      <c r="G14" s="10">
        <f t="shared" si="0"/>
        <v>408.67565781330484</v>
      </c>
      <c r="H14" s="10">
        <f t="shared" si="1"/>
        <v>2452.0539468798288</v>
      </c>
      <c r="I14" s="10">
        <f t="shared" ref="I14:I42" si="10">H14+I13</f>
        <v>6070.2456390687876</v>
      </c>
      <c r="J14" s="12">
        <f t="shared" si="7"/>
        <v>70392.254360931212</v>
      </c>
      <c r="K14" s="13">
        <f t="shared" si="8"/>
        <v>93333.333333333343</v>
      </c>
      <c r="L14" s="14">
        <f t="shared" si="2"/>
        <v>15.375544727980932</v>
      </c>
      <c r="M14" s="3">
        <v>6</v>
      </c>
      <c r="N14" s="48"/>
      <c r="O14" s="48"/>
      <c r="P14" s="11">
        <f t="shared" si="3"/>
        <v>0.95544279220436701</v>
      </c>
      <c r="Q14" s="15">
        <f t="shared" si="4"/>
        <v>5.4900728400026737E-2</v>
      </c>
    </row>
    <row r="15" spans="1:17" x14ac:dyDescent="0.2">
      <c r="A15" s="58">
        <v>4</v>
      </c>
      <c r="C15" s="9">
        <v>1.95E-2</v>
      </c>
      <c r="D15" s="5">
        <f t="shared" si="9"/>
        <v>77953.518750000003</v>
      </c>
      <c r="E15" s="5">
        <f t="shared" si="5"/>
        <v>18.355946596507628</v>
      </c>
      <c r="F15" s="5">
        <f t="shared" si="6"/>
        <v>12.479287979771852</v>
      </c>
      <c r="G15" s="10">
        <f t="shared" si="0"/>
        <v>408.67565781330484</v>
      </c>
      <c r="H15" s="10">
        <f t="shared" si="1"/>
        <v>2452.0539468798288</v>
      </c>
      <c r="I15" s="10">
        <f t="shared" si="10"/>
        <v>8522.2995859486164</v>
      </c>
      <c r="J15" s="12">
        <f t="shared" si="7"/>
        <v>69431.219164051392</v>
      </c>
      <c r="K15" s="13">
        <f t="shared" si="8"/>
        <v>133333.33333333334</v>
      </c>
      <c r="L15" s="14">
        <f t="shared" si="2"/>
        <v>15.645229552029649</v>
      </c>
      <c r="M15" s="4">
        <v>6</v>
      </c>
      <c r="N15" s="48"/>
      <c r="O15" s="48"/>
      <c r="P15" s="11">
        <f t="shared" si="3"/>
        <v>0.95544279220436701</v>
      </c>
      <c r="Q15" s="15">
        <f t="shared" si="4"/>
        <v>5.4478258298608168E-2</v>
      </c>
    </row>
    <row r="16" spans="1:17" x14ac:dyDescent="0.2">
      <c r="A16" s="58">
        <v>5</v>
      </c>
      <c r="C16" s="9">
        <v>1.95E-2</v>
      </c>
      <c r="D16" s="5">
        <f t="shared" si="9"/>
        <v>79473.612365625013</v>
      </c>
      <c r="E16" s="5">
        <f t="shared" si="5"/>
        <v>18.498294000085661</v>
      </c>
      <c r="F16" s="5">
        <f t="shared" si="6"/>
        <v>12.673588181985378</v>
      </c>
      <c r="G16" s="10">
        <f t="shared" si="0"/>
        <v>408.67565781330484</v>
      </c>
      <c r="H16" s="10">
        <f t="shared" si="1"/>
        <v>2452.0539468798288</v>
      </c>
      <c r="I16" s="10">
        <f t="shared" si="10"/>
        <v>10974.353532828445</v>
      </c>
      <c r="J16" s="12">
        <f t="shared" si="7"/>
        <v>68499.258832796564</v>
      </c>
      <c r="K16" s="13">
        <f t="shared" si="8"/>
        <v>173333.33333333334</v>
      </c>
      <c r="L16" s="14">
        <f t="shared" si="2"/>
        <v>15.794400354866255</v>
      </c>
      <c r="M16" s="4">
        <v>6</v>
      </c>
      <c r="N16" s="48"/>
      <c r="O16" s="48"/>
      <c r="P16" s="11">
        <f t="shared" si="3"/>
        <v>0.95544279220436701</v>
      </c>
      <c r="Q16" s="15">
        <f t="shared" si="4"/>
        <v>5.405903917384864E-2</v>
      </c>
    </row>
    <row r="17" spans="1:17" x14ac:dyDescent="0.2">
      <c r="A17" s="58">
        <v>6</v>
      </c>
      <c r="C17" s="9">
        <v>1.95E-2</v>
      </c>
      <c r="D17" s="5">
        <f t="shared" si="9"/>
        <v>81023.347806754711</v>
      </c>
      <c r="E17" s="5">
        <f t="shared" si="5"/>
        <v>18.641745284806458</v>
      </c>
      <c r="F17" s="5">
        <f t="shared" si="6"/>
        <v>12.870913602355696</v>
      </c>
      <c r="G17" s="10">
        <f t="shared" si="0"/>
        <v>408.67565781330484</v>
      </c>
      <c r="H17" s="10">
        <f t="shared" si="1"/>
        <v>2452.0539468798288</v>
      </c>
      <c r="I17" s="10">
        <f t="shared" si="10"/>
        <v>13426.407479708274</v>
      </c>
      <c r="J17" s="12">
        <f t="shared" si="7"/>
        <v>67596.940327046439</v>
      </c>
      <c r="K17" s="13">
        <f t="shared" si="8"/>
        <v>213333.33333333334</v>
      </c>
      <c r="L17" s="14">
        <f t="shared" si="2"/>
        <v>15.889085271376599</v>
      </c>
      <c r="M17" s="4">
        <v>6</v>
      </c>
      <c r="N17" s="48"/>
      <c r="O17" s="48"/>
      <c r="P17" s="11">
        <f t="shared" si="3"/>
        <v>0.95544279220436701</v>
      </c>
      <c r="Q17" s="15">
        <f t="shared" si="4"/>
        <v>5.3643046008950028E-2</v>
      </c>
    </row>
    <row r="18" spans="1:17" x14ac:dyDescent="0.2">
      <c r="A18" s="58">
        <v>7</v>
      </c>
      <c r="C18" s="9">
        <v>1.95E-2</v>
      </c>
      <c r="D18" s="5">
        <f t="shared" si="9"/>
        <v>82603.303088986431</v>
      </c>
      <c r="E18" s="5">
        <f t="shared" si="5"/>
        <v>18.786309011090122</v>
      </c>
      <c r="F18" s="5">
        <f t="shared" si="6"/>
        <v>13.071311342969109</v>
      </c>
      <c r="G18" s="10">
        <f t="shared" si="0"/>
        <v>408.67565781330484</v>
      </c>
      <c r="H18" s="10">
        <f t="shared" si="1"/>
        <v>2452.0539468798288</v>
      </c>
      <c r="I18" s="10">
        <f t="shared" si="10"/>
        <v>15878.461426588103</v>
      </c>
      <c r="J18" s="12">
        <f t="shared" si="7"/>
        <v>66724.841662398336</v>
      </c>
      <c r="K18" s="13">
        <f t="shared" si="8"/>
        <v>253333.33333333334</v>
      </c>
      <c r="L18" s="14">
        <f t="shared" si="2"/>
        <v>15.954526482593128</v>
      </c>
      <c r="M18" s="4">
        <v>6</v>
      </c>
      <c r="N18" s="48"/>
      <c r="O18" s="48"/>
      <c r="P18" s="11">
        <f t="shared" si="3"/>
        <v>0.95544279220436701</v>
      </c>
      <c r="Q18" s="15">
        <f t="shared" si="4"/>
        <v>5.3230253979622603E-2</v>
      </c>
    </row>
    <row r="19" spans="1:17" x14ac:dyDescent="0.2">
      <c r="A19" s="58">
        <v>8</v>
      </c>
      <c r="C19" s="9">
        <v>1.95E-2</v>
      </c>
      <c r="D19" s="5">
        <f t="shared" si="9"/>
        <v>84214.067499221666</v>
      </c>
      <c r="E19" s="5">
        <f t="shared" si="5"/>
        <v>18.93199380574146</v>
      </c>
      <c r="F19" s="5">
        <f t="shared" si="6"/>
        <v>13.274829239282704</v>
      </c>
      <c r="G19" s="10">
        <f t="shared" si="0"/>
        <v>408.67565781330484</v>
      </c>
      <c r="H19" s="10">
        <f t="shared" si="1"/>
        <v>2452.0539468798288</v>
      </c>
      <c r="I19" s="10">
        <f t="shared" si="10"/>
        <v>18330.515373467933</v>
      </c>
      <c r="J19" s="12">
        <f t="shared" si="7"/>
        <v>65883.552125753733</v>
      </c>
      <c r="K19" s="13">
        <f t="shared" si="8"/>
        <v>293333.33333333337</v>
      </c>
      <c r="L19" s="14">
        <f t="shared" si="2"/>
        <v>16.002459688499087</v>
      </c>
      <c r="M19" s="4">
        <v>6</v>
      </c>
      <c r="N19" s="48"/>
      <c r="O19" s="48"/>
      <c r="P19" s="11">
        <f t="shared" si="3"/>
        <v>0.95544279220436701</v>
      </c>
      <c r="Q19" s="15">
        <f t="shared" si="4"/>
        <v>5.2820638452603576E-2</v>
      </c>
    </row>
    <row r="20" spans="1:17" x14ac:dyDescent="0.2">
      <c r="A20" s="58">
        <v>9</v>
      </c>
      <c r="C20" s="9">
        <v>1.95E-2</v>
      </c>
      <c r="D20" s="5">
        <f t="shared" si="9"/>
        <v>85856.241815456495</v>
      </c>
      <c r="E20" s="5">
        <f t="shared" si="5"/>
        <v>19.078808362464752</v>
      </c>
      <c r="F20" s="5">
        <f t="shared" si="6"/>
        <v>13.481515871542777</v>
      </c>
      <c r="G20" s="10">
        <f t="shared" si="0"/>
        <v>408.67565781330484</v>
      </c>
      <c r="H20" s="10">
        <f t="shared" si="1"/>
        <v>2452.0539468798288</v>
      </c>
      <c r="I20" s="10">
        <f t="shared" si="10"/>
        <v>20782.569320347764</v>
      </c>
      <c r="J20" s="12">
        <f t="shared" si="7"/>
        <v>65073.672495108731</v>
      </c>
      <c r="K20" s="13">
        <f t="shared" si="8"/>
        <v>333333.33333333337</v>
      </c>
      <c r="L20" s="14">
        <f t="shared" si="2"/>
        <v>16.039081991992873</v>
      </c>
      <c r="M20" s="4">
        <v>6</v>
      </c>
      <c r="N20" s="48"/>
      <c r="O20" s="48"/>
      <c r="P20" s="11">
        <f t="shared" si="3"/>
        <v>0.95544279220436701</v>
      </c>
      <c r="Q20" s="15">
        <f t="shared" si="4"/>
        <v>5.2414174984187122E-2</v>
      </c>
    </row>
    <row r="21" spans="1:17" x14ac:dyDescent="0.2">
      <c r="A21" s="58">
        <v>10</v>
      </c>
      <c r="C21" s="9">
        <v>1.95E-2</v>
      </c>
      <c r="D21" s="5">
        <f t="shared" si="9"/>
        <v>87530.438530857908</v>
      </c>
      <c r="E21" s="5">
        <f t="shared" si="5"/>
        <v>19.226761442382532</v>
      </c>
      <c r="F21" s="5">
        <f t="shared" si="6"/>
        <v>13.691420576381025</v>
      </c>
      <c r="G21" s="10">
        <f t="shared" si="0"/>
        <v>408.67565781330484</v>
      </c>
      <c r="H21" s="10">
        <f t="shared" si="1"/>
        <v>2452.0539468798288</v>
      </c>
      <c r="I21" s="10">
        <f t="shared" si="10"/>
        <v>23234.623267227595</v>
      </c>
      <c r="J21" s="12">
        <f t="shared" si="7"/>
        <v>64295.815263630313</v>
      </c>
      <c r="K21" s="13">
        <f t="shared" si="8"/>
        <v>373333.33333333337</v>
      </c>
      <c r="L21" s="14">
        <f t="shared" si="2"/>
        <v>16.067974463778786</v>
      </c>
      <c r="M21" s="4">
        <v>6</v>
      </c>
      <c r="N21" s="48"/>
      <c r="O21" s="48"/>
      <c r="P21" s="11">
        <f t="shared" si="3"/>
        <v>0.95544279220436701</v>
      </c>
      <c r="Q21" s="15">
        <f t="shared" si="4"/>
        <v>5.2010839318765816E-2</v>
      </c>
    </row>
    <row r="22" spans="1:17" x14ac:dyDescent="0.2">
      <c r="A22" s="58">
        <v>11</v>
      </c>
      <c r="C22" s="9">
        <v>1.95E-2</v>
      </c>
      <c r="D22" s="5">
        <f t="shared" si="9"/>
        <v>89237.28208220964</v>
      </c>
      <c r="E22" s="5">
        <f t="shared" si="5"/>
        <v>19.375861874558446</v>
      </c>
      <c r="F22" s="5">
        <f t="shared" si="6"/>
        <v>13.904593458591389</v>
      </c>
      <c r="G22" s="10">
        <f t="shared" si="0"/>
        <v>408.67565781330484</v>
      </c>
      <c r="H22" s="10">
        <f t="shared" si="1"/>
        <v>2452.0539468798288</v>
      </c>
      <c r="I22" s="49">
        <f t="shared" si="10"/>
        <v>25686.677214107425</v>
      </c>
      <c r="J22" s="12">
        <f t="shared" si="7"/>
        <v>63550.604868102215</v>
      </c>
      <c r="K22" s="13">
        <f t="shared" si="8"/>
        <v>413333.33333333337</v>
      </c>
      <c r="L22" s="14">
        <f t="shared" si="2"/>
        <v>16.09135077643775</v>
      </c>
      <c r="M22" s="4">
        <v>6</v>
      </c>
      <c r="N22" s="49">
        <v>18151</v>
      </c>
      <c r="O22" s="49">
        <f>D22-N22</f>
        <v>71086.28208220964</v>
      </c>
      <c r="P22" s="11">
        <f t="shared" si="3"/>
        <v>0.95544279220436701</v>
      </c>
      <c r="Q22" s="15">
        <f t="shared" si="4"/>
        <v>5.1610607387383066E-2</v>
      </c>
    </row>
    <row r="23" spans="1:17" x14ac:dyDescent="0.2">
      <c r="A23" s="58">
        <v>12</v>
      </c>
      <c r="C23" s="9">
        <v>1.95E-2</v>
      </c>
      <c r="D23" s="5">
        <f t="shared" si="9"/>
        <v>90977.409082812737</v>
      </c>
      <c r="E23" s="5">
        <f t="shared" si="5"/>
        <v>19.5261185565241</v>
      </c>
      <c r="F23" s="5">
        <f t="shared" si="6"/>
        <v>14.121085403090179</v>
      </c>
      <c r="G23" s="10">
        <f t="shared" si="0"/>
        <v>408.67565781330484</v>
      </c>
      <c r="H23" s="10">
        <f t="shared" si="1"/>
        <v>2452.0539468798288</v>
      </c>
      <c r="I23" s="10">
        <f t="shared" si="10"/>
        <v>28138.731160987256</v>
      </c>
      <c r="J23" s="12">
        <f t="shared" si="7"/>
        <v>62838.677921825481</v>
      </c>
      <c r="K23" s="13">
        <f t="shared" si="8"/>
        <v>453333.33333333337</v>
      </c>
      <c r="L23" s="14">
        <f t="shared" si="2"/>
        <v>16.110652990702516</v>
      </c>
      <c r="M23" s="4">
        <v>6</v>
      </c>
      <c r="N23" s="48"/>
      <c r="O23" s="48"/>
      <c r="P23" s="11">
        <f t="shared" si="3"/>
        <v>0.95544279220436701</v>
      </c>
      <c r="Q23" s="15">
        <f t="shared" si="4"/>
        <v>5.1213455306296819E-2</v>
      </c>
    </row>
    <row r="24" spans="1:17" x14ac:dyDescent="0.2">
      <c r="A24" s="58">
        <v>13</v>
      </c>
      <c r="C24" s="9">
        <v>1.95E-2</v>
      </c>
      <c r="D24" s="5">
        <f t="shared" si="9"/>
        <v>92751.468559927598</v>
      </c>
      <c r="E24" s="5">
        <f t="shared" si="5"/>
        <v>19.677540454810018</v>
      </c>
      <c r="F24" s="5">
        <f t="shared" si="6"/>
        <v>14.340948087062399</v>
      </c>
      <c r="G24" s="10">
        <f t="shared" si="0"/>
        <v>343.65389565666169</v>
      </c>
      <c r="H24" s="10">
        <f t="shared" si="1"/>
        <v>4123.8467478799403</v>
      </c>
      <c r="I24" s="10">
        <f t="shared" si="10"/>
        <v>32262.577908867195</v>
      </c>
      <c r="J24" s="12">
        <f t="shared" si="7"/>
        <v>60488.890651060399</v>
      </c>
      <c r="K24" s="13">
        <f t="shared" si="8"/>
        <v>533333.33333333337</v>
      </c>
      <c r="L24" s="14">
        <f t="shared" si="2"/>
        <v>16.531020392724091</v>
      </c>
      <c r="M24" s="4">
        <v>12</v>
      </c>
      <c r="N24" s="48"/>
      <c r="O24" s="48"/>
      <c r="P24" s="11">
        <f t="shared" si="3"/>
        <v>0.80342841894465178</v>
      </c>
      <c r="Q24" s="15">
        <f t="shared" si="4"/>
        <v>5.0819359375554374E-2</v>
      </c>
    </row>
    <row r="25" spans="1:17" x14ac:dyDescent="0.2">
      <c r="A25" s="58">
        <v>14</v>
      </c>
      <c r="C25" s="9">
        <v>1.95E-2</v>
      </c>
      <c r="D25" s="5">
        <f t="shared" si="9"/>
        <v>94560.12219684619</v>
      </c>
      <c r="E25" s="5">
        <f t="shared" si="5"/>
        <v>19.83013660548071</v>
      </c>
      <c r="F25" s="5">
        <f t="shared" si="6"/>
        <v>14.564233992297263</v>
      </c>
      <c r="G25" s="10">
        <f t="shared" si="0"/>
        <v>343.65389565666169</v>
      </c>
      <c r="H25" s="10">
        <f t="shared" si="1"/>
        <v>4123.8467478799403</v>
      </c>
      <c r="I25" s="10">
        <f t="shared" si="10"/>
        <v>36386.424656747135</v>
      </c>
      <c r="J25" s="12">
        <f t="shared" si="7"/>
        <v>58173.697540099056</v>
      </c>
      <c r="K25" s="13">
        <f t="shared" si="8"/>
        <v>613333.33333333337</v>
      </c>
      <c r="L25" s="14">
        <f t="shared" si="2"/>
        <v>16.856103316531897</v>
      </c>
      <c r="M25" s="4">
        <v>12</v>
      </c>
      <c r="N25" s="48"/>
      <c r="O25" s="48"/>
      <c r="P25" s="11">
        <f t="shared" si="3"/>
        <v>0.80342841894465178</v>
      </c>
      <c r="Q25" s="15">
        <f t="shared" si="4"/>
        <v>5.0428296077578059E-2</v>
      </c>
    </row>
    <row r="26" spans="1:17" x14ac:dyDescent="0.2">
      <c r="A26" s="58">
        <v>15</v>
      </c>
      <c r="C26" s="9">
        <v>1.95E-2</v>
      </c>
      <c r="D26" s="5">
        <f t="shared" si="9"/>
        <v>96404.044579684705</v>
      </c>
      <c r="E26" s="5">
        <f t="shared" si="5"/>
        <v>19.983916114673924</v>
      </c>
      <c r="F26" s="5">
        <f t="shared" si="6"/>
        <v>14.790996417715709</v>
      </c>
      <c r="G26" s="10">
        <f t="shared" si="0"/>
        <v>343.65389565666169</v>
      </c>
      <c r="H26" s="10">
        <f t="shared" si="1"/>
        <v>4123.8467478799403</v>
      </c>
      <c r="I26" s="10">
        <f t="shared" si="10"/>
        <v>40510.271404627078</v>
      </c>
      <c r="J26" s="12">
        <f t="shared" si="7"/>
        <v>55893.773175057628</v>
      </c>
      <c r="K26" s="13">
        <f t="shared" si="8"/>
        <v>693333.33333333337</v>
      </c>
      <c r="L26" s="14">
        <f t="shared" si="2"/>
        <v>17.115000944035664</v>
      </c>
      <c r="M26" s="4">
        <v>12</v>
      </c>
      <c r="N26" s="48"/>
      <c r="O26" s="48"/>
      <c r="P26" s="11">
        <f t="shared" si="3"/>
        <v>0.80342841894465178</v>
      </c>
      <c r="Q26" s="15">
        <f t="shared" si="4"/>
        <v>5.0040242075761777E-2</v>
      </c>
    </row>
    <row r="27" spans="1:17" x14ac:dyDescent="0.2">
      <c r="A27" s="58">
        <v>16</v>
      </c>
      <c r="C27" s="9">
        <v>1.95E-2</v>
      </c>
      <c r="D27" s="5">
        <f t="shared" si="9"/>
        <v>98283.923448988571</v>
      </c>
      <c r="E27" s="5">
        <f t="shared" si="5"/>
        <v>20.138888159144042</v>
      </c>
      <c r="F27" s="5">
        <f t="shared" si="6"/>
        <v>15.021289492093038</v>
      </c>
      <c r="G27" s="10">
        <f t="shared" si="0"/>
        <v>325.00778821854067</v>
      </c>
      <c r="H27" s="10">
        <f t="shared" si="1"/>
        <v>4875.1168232781101</v>
      </c>
      <c r="I27" s="10">
        <f t="shared" si="10"/>
        <v>45385.38822790519</v>
      </c>
      <c r="J27" s="12">
        <f t="shared" si="7"/>
        <v>52898.535221083381</v>
      </c>
      <c r="K27" s="13">
        <f t="shared" si="8"/>
        <v>793333.33333333337</v>
      </c>
      <c r="L27" s="14">
        <f t="shared" si="2"/>
        <v>17.479928327363137</v>
      </c>
      <c r="M27" s="4">
        <v>15</v>
      </c>
      <c r="N27" s="48"/>
      <c r="O27" s="48"/>
      <c r="P27" s="11">
        <f t="shared" si="3"/>
        <v>0.75983568565159243</v>
      </c>
      <c r="Q27" s="15">
        <f t="shared" si="4"/>
        <v>4.965517421307844E-2</v>
      </c>
    </row>
    <row r="28" spans="1:17" x14ac:dyDescent="0.2">
      <c r="A28" s="58">
        <v>17</v>
      </c>
      <c r="C28" s="9">
        <v>1.95E-2</v>
      </c>
      <c r="D28" s="5">
        <f t="shared" si="9"/>
        <v>100200.45995624385</v>
      </c>
      <c r="E28" s="5">
        <f t="shared" si="5"/>
        <v>20.295061986809664</v>
      </c>
      <c r="F28" s="5">
        <f t="shared" si="6"/>
        <v>15.255168186979507</v>
      </c>
      <c r="G28" s="10">
        <f t="shared" si="0"/>
        <v>325.00778821854067</v>
      </c>
      <c r="H28" s="10">
        <f t="shared" si="1"/>
        <v>4875.1168232781101</v>
      </c>
      <c r="I28" s="10">
        <f t="shared" si="10"/>
        <v>50260.505051183303</v>
      </c>
      <c r="J28" s="12">
        <f t="shared" si="7"/>
        <v>49939.954905060549</v>
      </c>
      <c r="K28" s="13">
        <f t="shared" si="8"/>
        <v>893333.33333333337</v>
      </c>
      <c r="L28" s="14">
        <f t="shared" si="2"/>
        <v>17.774062008004062</v>
      </c>
      <c r="M28" s="4">
        <v>15</v>
      </c>
      <c r="N28" s="48"/>
      <c r="O28" s="48"/>
      <c r="P28" s="11">
        <f t="shared" si="3"/>
        <v>0.75983568565159243</v>
      </c>
      <c r="Q28" s="15">
        <f t="shared" si="4"/>
        <v>4.9273069510698139E-2</v>
      </c>
    </row>
    <row r="29" spans="1:17" x14ac:dyDescent="0.2">
      <c r="A29" s="58">
        <v>18</v>
      </c>
      <c r="C29" s="9">
        <v>1.95E-2</v>
      </c>
      <c r="D29" s="5">
        <f t="shared" si="9"/>
        <v>102154.36892539062</v>
      </c>
      <c r="E29" s="5">
        <f t="shared" si="5"/>
        <v>20.452446917305544</v>
      </c>
      <c r="F29" s="5">
        <f t="shared" si="6"/>
        <v>15.492688329822263</v>
      </c>
      <c r="G29" s="10">
        <f t="shared" si="0"/>
        <v>330.66221759211993</v>
      </c>
      <c r="H29" s="10">
        <f t="shared" si="1"/>
        <v>4629.2710462896794</v>
      </c>
      <c r="I29" s="10">
        <f t="shared" si="10"/>
        <v>54889.776097472983</v>
      </c>
      <c r="J29" s="12">
        <f t="shared" si="7"/>
        <v>47264.592827917637</v>
      </c>
      <c r="K29" s="13">
        <f t="shared" si="8"/>
        <v>986666.66666666674</v>
      </c>
      <c r="L29" s="14">
        <f t="shared" si="2"/>
        <v>17.975417952417025</v>
      </c>
      <c r="M29" s="4">
        <v>14</v>
      </c>
      <c r="N29" s="48"/>
      <c r="O29" s="48"/>
      <c r="P29" s="11">
        <f t="shared" si="3"/>
        <v>0.77305517569394522</v>
      </c>
      <c r="Q29" s="15">
        <f t="shared" si="4"/>
        <v>4.8893905166616736E-2</v>
      </c>
    </row>
    <row r="30" spans="1:17" x14ac:dyDescent="0.2">
      <c r="A30" s="58">
        <v>19</v>
      </c>
      <c r="C30" s="9">
        <v>1.95E-2</v>
      </c>
      <c r="D30" s="5">
        <f t="shared" si="9"/>
        <v>104146.37911943575</v>
      </c>
      <c r="E30" s="5">
        <f t="shared" si="5"/>
        <v>20.611052342538692</v>
      </c>
      <c r="F30" s="5">
        <f t="shared" si="6"/>
        <v>15.733906617291469</v>
      </c>
      <c r="G30" s="10">
        <f t="shared" si="0"/>
        <v>330.66221759211993</v>
      </c>
      <c r="H30" s="10">
        <f t="shared" si="1"/>
        <v>4629.2710462896794</v>
      </c>
      <c r="I30" s="10">
        <f t="shared" si="10"/>
        <v>59519.047143762662</v>
      </c>
      <c r="J30" s="12">
        <f t="shared" si="7"/>
        <v>44627.331975673085</v>
      </c>
      <c r="K30" s="13">
        <f t="shared" si="8"/>
        <v>1080000</v>
      </c>
      <c r="L30" s="14">
        <f t="shared" si="2"/>
        <v>18.145451781030054</v>
      </c>
      <c r="M30" s="4">
        <v>14</v>
      </c>
      <c r="N30" s="48"/>
      <c r="O30" s="48"/>
      <c r="P30" s="11">
        <f t="shared" si="3"/>
        <v>0.77305517569394522</v>
      </c>
      <c r="Q30" s="15">
        <f t="shared" si="4"/>
        <v>4.8517658554295275E-2</v>
      </c>
    </row>
    <row r="31" spans="1:17" x14ac:dyDescent="0.2">
      <c r="A31" s="58">
        <v>20</v>
      </c>
      <c r="C31" s="9">
        <v>1.95E-2</v>
      </c>
      <c r="D31" s="5">
        <f t="shared" si="9"/>
        <v>106177.23351226475</v>
      </c>
      <c r="E31" s="5">
        <f t="shared" si="5"/>
        <v>20.770887727248809</v>
      </c>
      <c r="F31" s="5">
        <f t="shared" si="6"/>
        <v>15.978880628813895</v>
      </c>
      <c r="G31" s="10">
        <f t="shared" si="0"/>
        <v>319.8059851474552</v>
      </c>
      <c r="H31" s="10">
        <f t="shared" si="1"/>
        <v>5116.8957623592833</v>
      </c>
      <c r="I31" s="10">
        <f t="shared" si="10"/>
        <v>64635.942906121942</v>
      </c>
      <c r="J31" s="12">
        <f t="shared" si="7"/>
        <v>41541.290606142808</v>
      </c>
      <c r="K31" s="13">
        <f t="shared" si="8"/>
        <v>1186666.6666666667</v>
      </c>
      <c r="L31" s="14">
        <f t="shared" si="2"/>
        <v>18.359238116015362</v>
      </c>
      <c r="M31" s="4">
        <v>16</v>
      </c>
      <c r="N31" s="48"/>
      <c r="O31" s="48"/>
      <c r="P31" s="11">
        <f t="shared" si="3"/>
        <v>0.74767439061061014</v>
      </c>
      <c r="Q31" s="15">
        <f t="shared" si="4"/>
        <v>4.8144307221309801E-2</v>
      </c>
    </row>
    <row r="32" spans="1:17" x14ac:dyDescent="0.2">
      <c r="A32" s="58">
        <v>21</v>
      </c>
      <c r="C32" s="9">
        <v>1.95E-2</v>
      </c>
      <c r="D32" s="5">
        <f t="shared" si="9"/>
        <v>108247.68956575391</v>
      </c>
      <c r="E32" s="5">
        <f t="shared" si="5"/>
        <v>20.931962609573169</v>
      </c>
      <c r="F32" s="5">
        <f t="shared" si="6"/>
        <v>16.227668840317378</v>
      </c>
      <c r="G32" s="10">
        <f t="shared" si="0"/>
        <v>319.8059851474552</v>
      </c>
      <c r="H32" s="10">
        <f t="shared" si="1"/>
        <v>5116.8957623592833</v>
      </c>
      <c r="I32" s="10">
        <f t="shared" si="10"/>
        <v>69752.838668481229</v>
      </c>
      <c r="J32" s="12">
        <f t="shared" si="7"/>
        <v>38494.850897272685</v>
      </c>
      <c r="K32" s="13">
        <f t="shared" si="8"/>
        <v>1293333.3333333335</v>
      </c>
      <c r="L32" s="14">
        <f t="shared" si="2"/>
        <v>18.541658777218249</v>
      </c>
      <c r="M32" s="4">
        <v>16</v>
      </c>
      <c r="N32" s="48"/>
      <c r="O32" s="48"/>
      <c r="P32" s="11">
        <f t="shared" si="3"/>
        <v>0.74767439061061014</v>
      </c>
      <c r="Q32" s="15">
        <f t="shared" si="4"/>
        <v>4.7773828888011342E-2</v>
      </c>
    </row>
    <row r="33" spans="1:21" x14ac:dyDescent="0.2">
      <c r="A33" s="58">
        <v>22</v>
      </c>
      <c r="C33" s="9">
        <v>1.95E-2</v>
      </c>
      <c r="D33" s="5">
        <f t="shared" si="9"/>
        <v>110358.51951228612</v>
      </c>
      <c r="E33" s="5">
        <f t="shared" si="5"/>
        <v>21.094286601615732</v>
      </c>
      <c r="F33" s="5">
        <f t="shared" si="6"/>
        <v>16.480330638189074</v>
      </c>
      <c r="G33" s="10">
        <f t="shared" si="0"/>
        <v>319.8059851474552</v>
      </c>
      <c r="H33" s="10">
        <f t="shared" si="1"/>
        <v>5116.8957623592833</v>
      </c>
      <c r="I33" s="10">
        <f t="shared" si="10"/>
        <v>74869.734430840515</v>
      </c>
      <c r="J33" s="12">
        <f t="shared" si="7"/>
        <v>35488.785081445603</v>
      </c>
      <c r="K33" s="13">
        <f t="shared" si="8"/>
        <v>1400000.0000000002</v>
      </c>
      <c r="L33" s="14">
        <f t="shared" si="2"/>
        <v>18.699144729746884</v>
      </c>
      <c r="M33" s="4">
        <v>16</v>
      </c>
      <c r="N33" s="48"/>
      <c r="O33" s="48"/>
      <c r="P33" s="11">
        <f t="shared" si="3"/>
        <v>0.74767439061061014</v>
      </c>
      <c r="Q33" s="15">
        <f t="shared" si="4"/>
        <v>4.740620144619654E-2</v>
      </c>
    </row>
    <row r="34" spans="1:21" x14ac:dyDescent="0.2">
      <c r="A34" s="58">
        <v>23</v>
      </c>
      <c r="C34" s="9">
        <v>1.95E-2</v>
      </c>
      <c r="D34" s="5">
        <f t="shared" si="9"/>
        <v>112510.51064277571</v>
      </c>
      <c r="E34" s="5">
        <f t="shared" si="5"/>
        <v>21.257869390020783</v>
      </c>
      <c r="F34" s="5">
        <f t="shared" si="6"/>
        <v>16.736926333451205</v>
      </c>
      <c r="G34" s="10">
        <f t="shared" si="0"/>
        <v>325.00778821854067</v>
      </c>
      <c r="H34" s="10">
        <f t="shared" si="1"/>
        <v>4875.1168232781101</v>
      </c>
      <c r="I34" s="10">
        <f t="shared" si="10"/>
        <v>79744.851254118621</v>
      </c>
      <c r="J34" s="12">
        <f t="shared" si="7"/>
        <v>32765.659388657092</v>
      </c>
      <c r="K34" s="13">
        <f t="shared" si="8"/>
        <v>1500000.0000000002</v>
      </c>
      <c r="L34" s="14">
        <f t="shared" si="2"/>
        <v>18.809991822795318</v>
      </c>
      <c r="M34" s="4">
        <v>15</v>
      </c>
      <c r="N34" s="48"/>
      <c r="O34" s="48"/>
      <c r="P34" s="11">
        <f t="shared" si="3"/>
        <v>0.75983568565159243</v>
      </c>
      <c r="Q34" s="15">
        <f t="shared" si="4"/>
        <v>4.7041402957788254E-2</v>
      </c>
    </row>
    <row r="35" spans="1:21" x14ac:dyDescent="0.2">
      <c r="A35" s="58">
        <v>24</v>
      </c>
      <c r="C35" s="9">
        <v>1.95E-2</v>
      </c>
      <c r="D35" s="5">
        <f t="shared" si="9"/>
        <v>114704.46560030985</v>
      </c>
      <c r="E35" s="5">
        <f t="shared" si="5"/>
        <v>21.422720736550957</v>
      </c>
      <c r="F35" s="5">
        <f t="shared" si="6"/>
        <v>16.997517176157423</v>
      </c>
      <c r="G35" s="10">
        <f t="shared" si="0"/>
        <v>325.00778821854067</v>
      </c>
      <c r="H35" s="10">
        <f t="shared" si="1"/>
        <v>4875.1168232781101</v>
      </c>
      <c r="I35" s="10">
        <f t="shared" si="10"/>
        <v>84619.968077396727</v>
      </c>
      <c r="J35" s="12">
        <f t="shared" si="7"/>
        <v>30084.497522913123</v>
      </c>
      <c r="K35" s="13">
        <f t="shared" si="8"/>
        <v>1600000.0000000002</v>
      </c>
      <c r="L35" s="14">
        <f t="shared" si="2"/>
        <v>18.908066693390591</v>
      </c>
      <c r="M35" s="4">
        <v>15</v>
      </c>
      <c r="N35" s="48"/>
      <c r="O35" s="48"/>
      <c r="P35" s="11">
        <f t="shared" si="3"/>
        <v>0.75983568565159243</v>
      </c>
      <c r="Q35" s="15">
        <f t="shared" si="4"/>
        <v>4.6679411653526473E-2</v>
      </c>
    </row>
    <row r="36" spans="1:21" x14ac:dyDescent="0.2">
      <c r="A36" s="58">
        <v>25</v>
      </c>
      <c r="C36" s="9">
        <v>1.95E-2</v>
      </c>
      <c r="D36" s="5">
        <f t="shared" si="9"/>
        <v>116941.2026795159</v>
      </c>
      <c r="E36" s="5">
        <f t="shared" si="5"/>
        <v>21.588850478669816</v>
      </c>
      <c r="F36" s="5">
        <f t="shared" si="6"/>
        <v>17.262165370013403</v>
      </c>
      <c r="G36" s="10">
        <f t="shared" si="0"/>
        <v>302.45382696220003</v>
      </c>
      <c r="H36" s="10">
        <f t="shared" si="1"/>
        <v>6049.0765392440007</v>
      </c>
      <c r="I36" s="10">
        <f t="shared" si="10"/>
        <v>90669.04461664072</v>
      </c>
      <c r="J36" s="12">
        <f t="shared" si="7"/>
        <v>26272.158062875184</v>
      </c>
      <c r="K36" s="13">
        <f t="shared" si="8"/>
        <v>1733333.3333333335</v>
      </c>
      <c r="L36" s="14">
        <f t="shared" si="2"/>
        <v>19.117145665999555</v>
      </c>
      <c r="M36" s="4">
        <v>20</v>
      </c>
      <c r="N36" s="52"/>
      <c r="O36" s="52"/>
      <c r="P36" s="11">
        <f t="shared" si="3"/>
        <v>0.70710678118654735</v>
      </c>
      <c r="Q36" s="15">
        <f t="shared" si="4"/>
        <v>4.6320205931669155E-2</v>
      </c>
    </row>
    <row r="37" spans="1:21" x14ac:dyDescent="0.2">
      <c r="A37" s="58">
        <v>26</v>
      </c>
      <c r="C37" s="9">
        <v>1.95E-2</v>
      </c>
      <c r="D37" s="5">
        <f t="shared" si="9"/>
        <v>119221.55613176647</v>
      </c>
      <c r="E37" s="5">
        <f t="shared" si="5"/>
        <v>21.756268530128818</v>
      </c>
      <c r="F37" s="5">
        <f t="shared" si="6"/>
        <v>17.530934087224949</v>
      </c>
      <c r="G37" s="10">
        <f t="shared" si="0"/>
        <v>302.45382696220003</v>
      </c>
      <c r="H37" s="10">
        <f t="shared" si="1"/>
        <v>6049.0765392440007</v>
      </c>
      <c r="I37" s="10">
        <f t="shared" si="10"/>
        <v>96718.121155884728</v>
      </c>
      <c r="J37" s="12">
        <f t="shared" si="7"/>
        <v>22503.434975881741</v>
      </c>
      <c r="K37" s="13">
        <f t="shared" si="8"/>
        <v>1866666.6666666667</v>
      </c>
      <c r="L37" s="14">
        <f t="shared" si="2"/>
        <v>19.300071634539719</v>
      </c>
      <c r="M37" s="4">
        <v>20</v>
      </c>
      <c r="N37" s="48"/>
      <c r="O37" s="48"/>
      <c r="P37" s="11">
        <f t="shared" si="3"/>
        <v>0.70710678118654735</v>
      </c>
      <c r="Q37" s="15">
        <f t="shared" si="4"/>
        <v>4.5963764356703268E-2</v>
      </c>
    </row>
    <row r="38" spans="1:21" x14ac:dyDescent="0.2">
      <c r="A38" s="58">
        <v>27</v>
      </c>
      <c r="C38" s="9">
        <v>1.95E-2</v>
      </c>
      <c r="D38" s="17">
        <f t="shared" si="9"/>
        <v>121546.37647633592</v>
      </c>
      <c r="E38" s="5">
        <f t="shared" si="5"/>
        <v>21.924984881559009</v>
      </c>
      <c r="F38" s="5">
        <f t="shared" si="6"/>
        <v>17.803887483577448</v>
      </c>
      <c r="G38" s="18">
        <f t="shared" si="0"/>
        <v>302.45382696220003</v>
      </c>
      <c r="H38" s="18">
        <f t="shared" si="1"/>
        <v>6049.0765392440007</v>
      </c>
      <c r="I38" s="50">
        <f t="shared" si="10"/>
        <v>102767.19769512874</v>
      </c>
      <c r="J38" s="20">
        <f t="shared" si="7"/>
        <v>18779.178781207185</v>
      </c>
      <c r="K38" s="21">
        <f t="shared" si="8"/>
        <v>2000000</v>
      </c>
      <c r="L38" s="22">
        <f t="shared" si="2"/>
        <v>19.461462848614797</v>
      </c>
      <c r="M38" s="16">
        <v>20</v>
      </c>
      <c r="N38" s="50">
        <v>110061</v>
      </c>
      <c r="O38" s="49">
        <f>D38-N38</f>
        <v>11485.376476335921</v>
      </c>
      <c r="P38" s="19">
        <f t="shared" si="3"/>
        <v>0.70710678118654735</v>
      </c>
      <c r="Q38" s="23">
        <f t="shared" si="4"/>
        <v>4.561006565806551E-2</v>
      </c>
      <c r="R38" s="16"/>
      <c r="S38" s="16"/>
    </row>
    <row r="39" spans="1:21" x14ac:dyDescent="0.2">
      <c r="A39" s="58">
        <v>28</v>
      </c>
      <c r="C39" s="9">
        <v>1.95E-2</v>
      </c>
      <c r="D39" s="17">
        <f t="shared" si="9"/>
        <v>123916.53081762449</v>
      </c>
      <c r="E39" s="5">
        <f t="shared" si="5"/>
        <v>22.095009601067147</v>
      </c>
      <c r="F39" s="5">
        <f t="shared" si="6"/>
        <v>18.081090713749976</v>
      </c>
      <c r="G39" s="18">
        <f t="shared" si="0"/>
        <v>302.45382696220003</v>
      </c>
      <c r="H39" s="18">
        <f t="shared" si="1"/>
        <v>6049.0765392440007</v>
      </c>
      <c r="I39" s="50">
        <f t="shared" si="10"/>
        <v>108816.27423437274</v>
      </c>
      <c r="J39" s="20">
        <f t="shared" si="7"/>
        <v>15100.256583251743</v>
      </c>
      <c r="K39" s="21">
        <f t="shared" si="8"/>
        <v>2133333.3333333335</v>
      </c>
      <c r="L39" s="22">
        <f t="shared" si="2"/>
        <v>19.604910647266575</v>
      </c>
      <c r="M39" s="16">
        <v>20</v>
      </c>
      <c r="N39" s="53"/>
      <c r="O39" s="53"/>
      <c r="P39" s="19">
        <f t="shared" si="3"/>
        <v>0.70710678118654735</v>
      </c>
      <c r="Q39" s="23">
        <f t="shared" si="4"/>
        <v>4.5259088728873055E-2</v>
      </c>
      <c r="R39" s="16"/>
      <c r="S39" s="16"/>
    </row>
    <row r="40" spans="1:21" x14ac:dyDescent="0.2">
      <c r="A40" s="58">
        <v>29</v>
      </c>
      <c r="C40" s="9">
        <v>1.95E-2</v>
      </c>
      <c r="D40" s="5">
        <f t="shared" si="9"/>
        <v>126332.90316856817</v>
      </c>
      <c r="E40" s="5">
        <f t="shared" si="5"/>
        <v>22.266352834836514</v>
      </c>
      <c r="F40" s="5">
        <f t="shared" si="6"/>
        <v>18.362609946867856</v>
      </c>
      <c r="G40" s="10">
        <f t="shared" si="0"/>
        <v>280.59223082615767</v>
      </c>
      <c r="H40" s="10">
        <f t="shared" si="1"/>
        <v>7575.990232306257</v>
      </c>
      <c r="I40" s="49">
        <f t="shared" si="10"/>
        <v>116392.264466679</v>
      </c>
      <c r="J40" s="12">
        <f t="shared" si="7"/>
        <v>9940.6387018891692</v>
      </c>
      <c r="K40" s="13">
        <f t="shared" si="8"/>
        <v>2313333.3333333335</v>
      </c>
      <c r="L40" s="14">
        <f t="shared" si="2"/>
        <v>19.875318552596756</v>
      </c>
      <c r="M40" s="4">
        <v>27</v>
      </c>
      <c r="N40" s="48"/>
      <c r="O40" s="48"/>
      <c r="P40" s="11">
        <f t="shared" si="3"/>
        <v>0.6559965570884766</v>
      </c>
      <c r="Q40" s="15">
        <f t="shared" si="4"/>
        <v>4.4910812624664058E-2</v>
      </c>
    </row>
    <row r="41" spans="1:21" x14ac:dyDescent="0.2">
      <c r="A41" s="58">
        <v>30</v>
      </c>
      <c r="C41" s="9">
        <v>1.95E-2</v>
      </c>
      <c r="D41" s="5">
        <f t="shared" si="9"/>
        <v>128796.39478035526</v>
      </c>
      <c r="E41" s="5">
        <f t="shared" si="5"/>
        <v>22.439024807732448</v>
      </c>
      <c r="F41" s="5">
        <f t="shared" si="6"/>
        <v>18.64851238229749</v>
      </c>
      <c r="G41" s="10">
        <f t="shared" si="0"/>
        <v>280.59223082615767</v>
      </c>
      <c r="H41" s="10">
        <f t="shared" si="1"/>
        <v>7575.990232306257</v>
      </c>
      <c r="I41" s="49">
        <f t="shared" si="10"/>
        <v>123968.25469898526</v>
      </c>
      <c r="J41" s="12">
        <f t="shared" si="7"/>
        <v>4828.140081370002</v>
      </c>
      <c r="K41" s="13">
        <f t="shared" si="8"/>
        <v>2493333.3333333335</v>
      </c>
      <c r="L41" s="14">
        <f t="shared" si="2"/>
        <v>20.112675937783795</v>
      </c>
      <c r="M41" s="4">
        <v>27</v>
      </c>
      <c r="N41" s="48"/>
      <c r="O41" s="48"/>
      <c r="P41" s="11">
        <f t="shared" si="3"/>
        <v>0.6559965570884766</v>
      </c>
      <c r="Q41" s="15">
        <f t="shared" si="4"/>
        <v>4.4565216562147646E-2</v>
      </c>
    </row>
    <row r="42" spans="1:21" x14ac:dyDescent="0.2">
      <c r="A42" s="58">
        <v>31</v>
      </c>
      <c r="C42" s="9">
        <v>1.95E-2</v>
      </c>
      <c r="D42" s="5">
        <f t="shared" si="9"/>
        <v>131307.92447857218</v>
      </c>
      <c r="E42" s="5">
        <f t="shared" si="5"/>
        <v>22.613035823912433</v>
      </c>
      <c r="F42" s="5">
        <f t="shared" si="6"/>
        <v>18.938866265686926</v>
      </c>
      <c r="G42" s="10">
        <f t="shared" si="0"/>
        <v>280.59223082615767</v>
      </c>
      <c r="H42" s="10">
        <f t="shared" si="1"/>
        <v>7575.990232306257</v>
      </c>
      <c r="I42" s="50">
        <f t="shared" si="10"/>
        <v>131544.24493129153</v>
      </c>
      <c r="J42" s="12">
        <f t="shared" si="7"/>
        <v>-236.32045271934476</v>
      </c>
      <c r="K42" s="13">
        <f t="shared" si="8"/>
        <v>2673333.3333333335</v>
      </c>
      <c r="L42" s="14">
        <f t="shared" si="2"/>
        <v>20.322693210407454</v>
      </c>
      <c r="M42" s="4">
        <v>27</v>
      </c>
      <c r="N42" s="50">
        <v>137180</v>
      </c>
      <c r="O42" s="49">
        <f>D42-N42</f>
        <v>-5872.0755214278179</v>
      </c>
      <c r="P42" s="11">
        <f t="shared" si="3"/>
        <v>0.6559965570884766</v>
      </c>
      <c r="Q42" s="15">
        <f t="shared" si="4"/>
        <v>4.4222279917963854E-2</v>
      </c>
    </row>
    <row r="43" spans="1:21" x14ac:dyDescent="0.2">
      <c r="A43" s="8"/>
      <c r="E43" s="9"/>
      <c r="F43" s="5"/>
      <c r="G43" s="8"/>
      <c r="H43" s="10"/>
      <c r="I43" s="11"/>
      <c r="J43" s="10"/>
      <c r="K43" s="10"/>
      <c r="L43" s="12"/>
      <c r="M43" s="5"/>
      <c r="N43" s="14"/>
      <c r="O43" s="13"/>
      <c r="R43" s="3"/>
      <c r="S43" s="15"/>
      <c r="U43" s="9"/>
    </row>
    <row r="44" spans="1:21" x14ac:dyDescent="0.2">
      <c r="A44" s="8"/>
      <c r="E44" s="9"/>
      <c r="F44" s="5"/>
      <c r="G44" s="8"/>
      <c r="H44" s="10"/>
      <c r="I44" s="11"/>
      <c r="J44" s="10"/>
      <c r="K44" s="10"/>
      <c r="L44" s="12"/>
      <c r="M44" s="5"/>
      <c r="N44" s="14"/>
      <c r="O44" s="13"/>
      <c r="R44" s="3"/>
      <c r="S44" s="15"/>
      <c r="U44" s="9"/>
    </row>
    <row r="45" spans="1:21" x14ac:dyDescent="0.2">
      <c r="A45" s="8"/>
      <c r="E45" s="9"/>
      <c r="F45" s="5"/>
      <c r="G45" s="8"/>
      <c r="H45" s="10"/>
      <c r="I45" s="11"/>
      <c r="J45" s="10"/>
      <c r="K45" s="10"/>
      <c r="L45" s="12"/>
      <c r="M45" s="5"/>
      <c r="N45" s="14"/>
      <c r="O45" s="13"/>
      <c r="R45" s="3"/>
      <c r="S45" s="15"/>
      <c r="U45" s="9"/>
    </row>
    <row r="46" spans="1:21" x14ac:dyDescent="0.2">
      <c r="A46" s="8"/>
      <c r="E46" s="9"/>
      <c r="F46" s="5"/>
      <c r="G46" s="8"/>
      <c r="H46" s="10"/>
      <c r="I46" s="11"/>
      <c r="J46" s="10"/>
      <c r="K46" s="10"/>
      <c r="L46" s="12"/>
      <c r="M46" s="5"/>
      <c r="N46" s="14"/>
      <c r="O46" s="13"/>
      <c r="R46" s="3"/>
      <c r="S46" s="15"/>
      <c r="U46" s="9"/>
    </row>
    <row r="47" spans="1:21" x14ac:dyDescent="0.2">
      <c r="P47" s="2"/>
    </row>
  </sheetData>
  <mergeCells count="6">
    <mergeCell ref="M9:O9"/>
    <mergeCell ref="K9:L9"/>
    <mergeCell ref="A1:C1"/>
    <mergeCell ref="E9:J9"/>
    <mergeCell ref="P9:Q9"/>
    <mergeCell ref="B9:D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Innovation Model</vt:lpstr>
      <vt:lpstr>Estimating Model</vt:lpstr>
      <vt:lpstr>Tracking Model</vt:lpstr>
      <vt:lpstr>cost</vt:lpstr>
      <vt:lpstr>ideal</vt:lpstr>
      <vt:lpstr>J</vt:lpstr>
      <vt:lpstr>locfp</vt:lpstr>
      <vt:lpstr>originalscope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PeterL</dc:creator>
  <cp:lastModifiedBy>PeterL</cp:lastModifiedBy>
  <dcterms:created xsi:type="dcterms:W3CDTF">2012-03-08T19:39:35Z</dcterms:created>
  <dcterms:modified xsi:type="dcterms:W3CDTF">2012-07-05T20:01:35Z</dcterms:modified>
</cp:coreProperties>
</file>